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495" windowHeight="4530" tabRatio="699" firstSheet="1" activeTab="1"/>
  </bookViews>
  <sheets>
    <sheet name="CashFlow" sheetId="1" state="hidden" r:id="rId1"/>
    <sheet name="Balance Sheet-p1" sheetId="2" r:id="rId2"/>
    <sheet name="Income Statement-p2" sheetId="3" r:id="rId3"/>
    <sheet name="Equity QTD-p3" sheetId="4" r:id="rId4"/>
    <sheet name="Equity YTD-p4" sheetId="5" r:id="rId5"/>
    <sheet name="Earned Incurred QTD-p5" sheetId="6" r:id="rId6"/>
    <sheet name="Earned Incurred YTD-p6" sheetId="7" r:id="rId7"/>
    <sheet name="Premiums QTD-p7" sheetId="8" r:id="rId8"/>
    <sheet name="Premiums YTD-p8" sheetId="9" r:id="rId9"/>
    <sheet name="Losses Incurred QTD-p9" sheetId="10" r:id="rId10"/>
    <sheet name="(6)Losses Incurred YTD-p1" sheetId="11" state="hidden" r:id="rId11"/>
    <sheet name="Losses Incurred YTD-p10" sheetId="12" r:id="rId12"/>
    <sheet name="Loss Expenses QTD-p11" sheetId="13" r:id="rId13"/>
    <sheet name="Loss Expenses YTD-p12" sheetId="14" r:id="rId14"/>
    <sheet name="Business Summary" sheetId="15" state="hidden" r:id="rId15"/>
    <sheet name="BP-highlights-1" sheetId="16" state="hidden" r:id="rId16"/>
  </sheets>
  <externalReferences>
    <externalReference r:id="rId19"/>
    <externalReference r:id="rId20"/>
    <externalReference r:id="rId21"/>
    <externalReference r:id="rId22"/>
    <externalReference r:id="rId23"/>
    <externalReference r:id="rId24"/>
    <externalReference r:id="rId25"/>
  </externalReferences>
  <definedNames>
    <definedName name="_xlnm.Print_Area" localSheetId="10">'(6)Losses Incurred YTD-p1'!$A$1:$G$37</definedName>
    <definedName name="_xlnm.Print_Area" localSheetId="1">'Balance Sheet-p1'!$A$1:$E$47</definedName>
    <definedName name="_xlnm.Print_Area" localSheetId="15">'BP-highlights-1'!$A$1:$H$39</definedName>
    <definedName name="_xlnm.Print_Area" localSheetId="0">'CashFlow'!$A$1:$M$56</definedName>
    <definedName name="_xlnm.Print_Area" localSheetId="5">'Earned Incurred QTD-p5'!$A$1:$D$54</definedName>
    <definedName name="_xlnm.Print_Area" localSheetId="6">'Earned Incurred YTD-p6'!$A$1:$D$54</definedName>
    <definedName name="_xlnm.Print_Area" localSheetId="3">'Equity QTD-p3'!$A$1:$G$54</definedName>
    <definedName name="_xlnm.Print_Area" localSheetId="4">'Equity YTD-p4'!$A$1:$G$54</definedName>
    <definedName name="_xlnm.Print_Area" localSheetId="2">'Income Statement-p2'!$A$1:$E$37</definedName>
    <definedName name="_xlnm.Print_Area" localSheetId="12">'Loss Expenses QTD-p11'!$A$1:$G$30</definedName>
    <definedName name="_xlnm.Print_Area" localSheetId="13">'Loss Expenses YTD-p12'!$A$1:$G$31</definedName>
    <definedName name="_xlnm.Print_Area" localSheetId="9">'Losses Incurred QTD-p9'!$A$1:$G$30</definedName>
    <definedName name="_xlnm.Print_Area" localSheetId="11">'Losses Incurred YTD-p10'!$A$1:$G$38</definedName>
    <definedName name="_xlnm.Print_Area" localSheetId="7">'Premiums QTD-p7'!$A$1:$G$33</definedName>
    <definedName name="_xlnm.Print_Area" localSheetId="8">'Premiums YTD-p8'!$A$1:$H$39</definedName>
  </definedNames>
  <calcPr fullCalcOnLoad="1"/>
</workbook>
</file>

<file path=xl/comments15.xml><?xml version="1.0" encoding="utf-8"?>
<comments xmlns="http://schemas.openxmlformats.org/spreadsheetml/2006/main">
  <authors>
    <author>njiua</author>
  </authors>
  <commentList>
    <comment ref="B28" authorId="0">
      <text>
        <r>
          <t/>
        </r>
      </text>
    </comment>
  </commentList>
</comments>
</file>

<file path=xl/comments16.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<sst xmlns="http://schemas.openxmlformats.org/spreadsheetml/2006/main" count="636" uniqueCount="300">
  <si>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</si>
  <si>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</si>
  <si>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</si>
  <si>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</si>
  <si>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</si>
  <si>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</si>
  <si>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</si>
  <si>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</si>
  <si>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</si>
  <si>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</si>
  <si>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NJIUA</t>
  </si>
  <si>
    <t xml:space="preserve">    FIRE</t>
  </si>
  <si>
    <t xml:space="preserve">    CRIME</t>
  </si>
  <si>
    <t>Quarter Ending Dec. 31,</t>
  </si>
  <si>
    <t>Twelve Months Ending Dec. 31,</t>
  </si>
  <si>
    <t>Increase/(Decrease)</t>
  </si>
  <si>
    <t xml:space="preserve">I.B.N.R. - Increase/(Decrease) </t>
  </si>
  <si>
    <t xml:space="preserve">      POST RETIREMENT BENEFITS (other than pensions)</t>
  </si>
  <si>
    <t xml:space="preserve">      DEFINED BENEFIT PENSION PLAN</t>
  </si>
  <si>
    <t xml:space="preserve">     FIRE</t>
  </si>
  <si>
    <t xml:space="preserve">      SUNDRY RECEIVABLE</t>
  </si>
  <si>
    <t>Description</t>
  </si>
  <si>
    <t xml:space="preserve">    ALLIED </t>
  </si>
  <si>
    <t xml:space="preserve">      ADVANCE PREMIUMS</t>
  </si>
  <si>
    <t>YEAR-TO-DATE</t>
  </si>
  <si>
    <t>EDP Equipment</t>
  </si>
  <si>
    <t>Prepaid Taxes - Chg in Equity</t>
  </si>
  <si>
    <t>TOTAL        I.B.N.R.</t>
  </si>
  <si>
    <t>Underwriting Gain (Loss)</t>
  </si>
  <si>
    <t>Net Gain (Loss)</t>
  </si>
  <si>
    <t>POLICY YEAR 2003</t>
  </si>
  <si>
    <t>POLICY YEAR 2002</t>
  </si>
  <si>
    <t>Change in Reserve for Taxes &amp; Fees</t>
  </si>
  <si>
    <t>Net Taxes &amp; Fees Incurred</t>
  </si>
  <si>
    <t xml:space="preserve">     LOSS - CASE BASIS</t>
  </si>
  <si>
    <t xml:space="preserve">     OTHER CHARGES</t>
  </si>
  <si>
    <t xml:space="preserve">     PENSION OBLIGATIONS--SSAP #8</t>
  </si>
  <si>
    <t xml:space="preserve">      AMOUNTS HELD FOR OTHERS</t>
  </si>
  <si>
    <t>Less Salvage &amp; Subrogation</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</si>
  <si>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</si>
  <si>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</si>
  <si>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</si>
  <si>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</si>
  <si>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</si>
  <si>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</si>
  <si>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</si>
  <si>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</si>
  <si>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</si>
  <si>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</si>
  <si>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</si>
  <si>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</si>
  <si>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A/C #</t>
  </si>
  <si>
    <t>Crime Plan</t>
  </si>
  <si>
    <t>Combined</t>
  </si>
  <si>
    <t>Direct to Surplus</t>
  </si>
  <si>
    <t>Premiums Collected</t>
  </si>
  <si>
    <t>U/W Expense</t>
  </si>
  <si>
    <t>Net Inv Inc Collected</t>
  </si>
  <si>
    <t>Change in Cash</t>
  </si>
  <si>
    <t>Cash &amp; ST Inv</t>
  </si>
  <si>
    <t>Suspense Accts(T/B):</t>
  </si>
  <si>
    <t>29220-250</t>
  </si>
  <si>
    <t>Prem Overpayments</t>
  </si>
  <si>
    <t>29000-90</t>
  </si>
  <si>
    <t>Premium Suspense</t>
  </si>
  <si>
    <t>NSF Suspense</t>
  </si>
  <si>
    <t>Investment Income Accrued</t>
  </si>
  <si>
    <t>Other Assets:</t>
  </si>
  <si>
    <t>13400/13150</t>
  </si>
  <si>
    <t>Other A/R</t>
  </si>
  <si>
    <t>14200-250</t>
  </si>
  <si>
    <t>Liabilities &amp; Reserves:</t>
  </si>
  <si>
    <t>22-23100</t>
  </si>
  <si>
    <t>Unpaid Losses Reserves</t>
  </si>
  <si>
    <t>Unpaid Losses Pay</t>
  </si>
  <si>
    <t>23000-100</t>
  </si>
  <si>
    <t>Unpaid ALE</t>
  </si>
  <si>
    <t>Unpaid ALE Payable</t>
  </si>
  <si>
    <t>Unpaid UW exp</t>
  </si>
  <si>
    <t>26000-28540</t>
  </si>
  <si>
    <t>Accrued Exp</t>
  </si>
  <si>
    <t>Unfunded Pension Liability</t>
  </si>
  <si>
    <t>Accrued Prem Tax</t>
  </si>
  <si>
    <t>Unearned Premium res</t>
  </si>
  <si>
    <t>Equities:</t>
  </si>
  <si>
    <t>Non-admitted assets Chg</t>
  </si>
  <si>
    <t>Assessments Net Chg</t>
  </si>
  <si>
    <t>31000+33</t>
  </si>
  <si>
    <t>Equity</t>
  </si>
  <si>
    <t>Pg. #6 (E/U)</t>
  </si>
  <si>
    <t>Pg 4 Net Gain/(Loss)</t>
  </si>
  <si>
    <t>Change in UPR</t>
  </si>
  <si>
    <t>Paid Losses</t>
  </si>
  <si>
    <t>Paid ALE</t>
  </si>
  <si>
    <t>Paid ULE</t>
  </si>
  <si>
    <t>Losses recovered (S&amp;S)</t>
  </si>
  <si>
    <t>Change in Loss  Reserves</t>
  </si>
  <si>
    <t>Other UW Exp</t>
  </si>
  <si>
    <t>Commission</t>
  </si>
  <si>
    <t>Premium Tax</t>
  </si>
  <si>
    <t>Small Balance Write off</t>
  </si>
  <si>
    <t>Conversion Adjustment</t>
  </si>
  <si>
    <t>IS Control Total</t>
  </si>
  <si>
    <t>(6)</t>
  </si>
  <si>
    <t>(1)</t>
  </si>
  <si>
    <t>(2)</t>
  </si>
  <si>
    <t>(3)</t>
  </si>
  <si>
    <t>(4)</t>
  </si>
  <si>
    <t>(5)</t>
  </si>
  <si>
    <t>Accruals</t>
  </si>
  <si>
    <t>Cash Flow Analysis 2002</t>
  </si>
  <si>
    <t>C/F = NET EQUITY @ 12/02</t>
  </si>
  <si>
    <t>61100+61105</t>
  </si>
  <si>
    <t>C/F = NET GAIN/LOSS @ 12/02</t>
  </si>
  <si>
    <t>5112-5121-51310</t>
  </si>
  <si>
    <t>E/I page 6</t>
  </si>
  <si>
    <t>Net Change in Equity @ 12/31/2002</t>
  </si>
  <si>
    <t xml:space="preserve">     TAXES &amp; FEES </t>
  </si>
  <si>
    <t xml:space="preserve">      RETURN PREMIUMS</t>
  </si>
  <si>
    <t xml:space="preserve">      CLAIM CHECKS PAYABLE</t>
  </si>
  <si>
    <t>PRIOR LOSS  EXPENSE RESERVE     @ 12-31-02</t>
  </si>
  <si>
    <t>LOSS EXPENSES PAID          (ALAE AND ULAE)</t>
  </si>
  <si>
    <t xml:space="preserve">INCURRED LOSSES </t>
  </si>
  <si>
    <t>Other Operating Exp. Paid</t>
  </si>
  <si>
    <t>Change in Other Underwriting Exp. Reserve</t>
  </si>
  <si>
    <t>ALAE &amp; ULAE LOSS                  EXPENSES  INCURRED</t>
  </si>
  <si>
    <t>SEE NOTE BELOW</t>
  </si>
  <si>
    <t>Total Underwriting Exp. Paid</t>
  </si>
  <si>
    <t>Total Other Underwriting Exp. Incurred</t>
  </si>
  <si>
    <t>Total Loss &amp; Underwriting Exp. Incurred</t>
  </si>
  <si>
    <t xml:space="preserve">      OTHER PAYABLE</t>
  </si>
  <si>
    <t>YTD PERIOD ENDED SEPTEMBER 30, 2003</t>
  </si>
  <si>
    <t>QTD PERIOD ENDED SEPTEMBER 30, 2003</t>
  </si>
  <si>
    <t>CURRENT LOSS RESERVE (9-30-03)</t>
  </si>
  <si>
    <t>PRIOR LOSS RESERVES (6-30-03)</t>
  </si>
  <si>
    <t>CURRENT UNEARNED PREMIUM RESERVE  @ 9-30-03</t>
  </si>
  <si>
    <t>CURRENT UNEARNED PREMIUM RESERVE @ 9-30-03</t>
  </si>
  <si>
    <t>PRIOR UNEARNED PREMIUM RESERVE @ 6-30-03</t>
  </si>
  <si>
    <t>9-30-03</t>
  </si>
  <si>
    <t>AT SEPTEMBER 30, 2003</t>
  </si>
  <si>
    <t>NET EQUITY AT SEPTEMBER 30, 2003</t>
  </si>
  <si>
    <t xml:space="preserve">     NET EQUITY AT SEPTEMBER 30, 2003</t>
  </si>
  <si>
    <t>Prior  Reserve</t>
  </si>
  <si>
    <t>POLICY YEAR 1999 &amp; PRIOR</t>
  </si>
  <si>
    <t>CURRENT LOSS RESERVE (06-30-03)</t>
  </si>
  <si>
    <t xml:space="preserve">     TAXES &amp; FEES INCURRED</t>
  </si>
  <si>
    <t xml:space="preserve">     TAXES &amp; FEES PAID</t>
  </si>
  <si>
    <t>Commissions Expense</t>
  </si>
  <si>
    <t>CURRENT RESERVES</t>
  </si>
  <si>
    <t>PRIOR RESERVES</t>
  </si>
  <si>
    <t xml:space="preserve">     ASSOCIATION EXPENSES </t>
  </si>
  <si>
    <t>POLICY YEAR 2001</t>
  </si>
  <si>
    <r>
      <t xml:space="preserve">NET OPERATING PROFIT </t>
    </r>
    <r>
      <rPr>
        <b/>
        <sz val="11"/>
        <color indexed="10"/>
        <rFont val="Century Schoolbook"/>
        <family val="1"/>
      </rPr>
      <t>(LOSS)</t>
    </r>
  </si>
  <si>
    <t>Net Investment Income Received</t>
  </si>
  <si>
    <t>Net Investment Income Earned</t>
  </si>
  <si>
    <t>PRIOR LOSS RESERVES (12-31-02)</t>
  </si>
  <si>
    <t>PRIOR UNEARNED PREMIUM RESERVE @ 12-31-02</t>
  </si>
  <si>
    <t>QUARTER-TO-DATE</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</si>
  <si>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</si>
  <si>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</si>
  <si>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</si>
  <si>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</si>
  <si>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</si>
  <si>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</si>
  <si>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</si>
  <si>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</si>
  <si>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</si>
  <si>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</si>
  <si>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</si>
  <si>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Investment Income</t>
  </si>
  <si>
    <t>% Change</t>
  </si>
  <si>
    <t>Advance Premiums</t>
  </si>
  <si>
    <t>Change</t>
  </si>
  <si>
    <t>51100+05+08-01</t>
  </si>
  <si>
    <t>51100+05+08-02</t>
  </si>
  <si>
    <t>51100+05+08-90</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</si>
  <si>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</si>
  <si>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</si>
  <si>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</si>
  <si>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</si>
  <si>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</si>
  <si>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</si>
  <si>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</si>
  <si>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</si>
  <si>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</si>
  <si>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</si>
  <si>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</si>
  <si>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</si>
  <si>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</si>
  <si>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</si>
  <si>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</si>
  <si>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</si>
  <si>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</si>
  <si>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</si>
  <si>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</si>
  <si>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</si>
  <si>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YEAR</t>
  </si>
  <si>
    <t>TO DATE</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</si>
  <si>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</si>
  <si>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</si>
  <si>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</si>
  <si>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</si>
  <si>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</si>
  <si>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</si>
  <si>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</si>
  <si>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</si>
  <si>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</si>
  <si>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</si>
  <si>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</si>
  <si>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</si>
  <si>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</si>
  <si>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</si>
  <si>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</si>
  <si>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</si>
  <si>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</si>
  <si>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</si>
  <si>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</si>
  <si>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</si>
  <si>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</si>
  <si>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</si>
  <si>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</si>
  <si>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</si>
  <si>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</si>
  <si>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</si>
  <si>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</si>
  <si>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</si>
  <si>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</si>
  <si>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</si>
  <si>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</si>
  <si>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</si>
  <si>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</si>
  <si>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</si>
  <si>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</si>
  <si>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</si>
  <si>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</si>
  <si>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</si>
  <si>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</si>
  <si>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</si>
  <si>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</si>
  <si>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</si>
  <si>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</si>
  <si>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</si>
  <si>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</si>
  <si>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</si>
  <si>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</si>
  <si>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Prior Unearned Reserve</t>
  </si>
  <si>
    <t>Change in Unearned Premium Reserve</t>
  </si>
  <si>
    <t>Net Premium Earned</t>
  </si>
  <si>
    <t>Losses Paid</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</si>
  <si>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</si>
  <si>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</si>
  <si>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</si>
  <si>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</si>
  <si>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</si>
  <si>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</si>
  <si>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</si>
  <si>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</si>
  <si>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</si>
  <si>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</si>
  <si>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</si>
  <si>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</si>
  <si>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</si>
  <si>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</si>
  <si>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</si>
  <si>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</si>
  <si>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</si>
  <si>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</si>
  <si>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</si>
  <si>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</si>
  <si>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</si>
  <si>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</si>
  <si>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</si>
  <si>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</si>
  <si>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</si>
  <si>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</si>
  <si>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</si>
  <si>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</si>
  <si>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</si>
  <si>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</si>
  <si>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</si>
  <si>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</si>
  <si>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PREPAID/(ACCRUED) PENSION COST</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</si>
  <si>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</si>
  <si>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</si>
  <si>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</si>
  <si>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</si>
  <si>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</si>
  <si>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</si>
  <si>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</si>
  <si>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</si>
  <si>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</si>
  <si>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Note: As required under the Terrorism Risk Insurance Act of 2002, Direct Earned Premium for Commercial business written in the 3rd quarter is shown on page 8.</t>
  </si>
  <si>
    <t>*Note: On November 26, 2002, President Bush signed into law the Terrorism Risk Insurance Act of 2002. The Act was effective immediately. It includes State residual market insurance entities such as FAIR Plans that write commercial property insurance coverage. The Act provides residual market insurance entities that share profits and losses with private sector insurers, to report its share of direct earned premium and losses to each private sector insurance participant.  For the quarter ending September 30, 2003, the direct earned premium for commercial business written by the FAIR Plan was $509,815.  The year-to-date amount was $1,476,522.   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</si>
  <si>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CURRENT YEAR</t>
  </si>
  <si>
    <t>PRIOR LOSS  EXPENSE RESERVE   @ 6-30-03</t>
  </si>
  <si>
    <t>CURRENT LOSS EXPENSE RESERVE           @ 9-30-03</t>
  </si>
  <si>
    <t>CURRENT LOSS EXPENSE RESERVE        @ 9-30-03</t>
  </si>
  <si>
    <t xml:space="preserve">     LOSS - I.B.N.R.</t>
  </si>
  <si>
    <t xml:space="preserve">     LOSS EXPENSE - ALLOCATED</t>
  </si>
  <si>
    <t xml:space="preserve">     LOSS EXPENSE - UNALLOCATED</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</si>
</sst>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mm/dd/yy"/>
    <numFmt numFmtId="168" formatCode="&quot;$&quot;#,##0"/>
    <numFmt numFmtId="169" formatCode="#,##0.0000000000_);\(#,##0.0000000000\)"/>
    <numFmt numFmtId="170" formatCode="mmmm\ d\,\ yyyy"/>
    <numFmt numFmtId="171" formatCode="_(* #,##0.00_);_(* \(#,##0.00\);_(* &quot;-&quot;_);_(@_)"/>
    <numFmt numFmtId="172" formatCode="_(* #,##0.00000_);_(* \(#,##0.00000\);_(* &quot;-&quot;_);_(@_)"/>
    <numFmt numFmtId="173" formatCode="#,##0.000000000_);[Red]\(#,##0.000000000\)"/>
    <numFmt numFmtId="174" formatCode="0.0000%"/>
    <numFmt numFmtId="175" formatCode="#,##0.0_);[Red]\(#,##0.0\)"/>
    <numFmt numFmtId="176" formatCode="#,##0.0000000000000_);\(#,##0.0000000000000\)"/>
    <numFmt numFmtId="177" formatCode="mmmm\-yy"/>
    <numFmt numFmtId="178" formatCode="_(* #,##0.0000_);_(* \(#,##0.0000\);_(* &quot;-&quot;????_);_(@_)"/>
    <numFmt numFmtId="179" formatCode="_(* #,##0.000_);_(* \(#,##0.000\);_(* &quot;-&quot;_);_(@_)"/>
    <numFmt numFmtId="180" formatCode="_(* #,##0.0000_);_(* \(#,##0.0000\);_(* &quot;-&quot;_);_(@_)"/>
    <numFmt numFmtId="181" formatCode="yyyy"/>
    <numFmt numFmtId="182" formatCode="_(* #,##0.0_);_(* \(#,##0.0\);_(* &quot;-&quot;_);_(@_)"/>
    <numFmt numFmtId="183" formatCode="_(* #,##0.000_);_(* \(#,##0.000\);_(* &quot;-&quot;???_);_(@_)"/>
    <numFmt numFmtId="184" formatCode="0.0"/>
    <numFmt numFmtId="185" formatCode="&quot;$&quot;#,##0.0_);\(&quot;$&quot;#,##0.0\)"/>
    <numFmt numFmtId="186" formatCode="&quot;$&quot;#,##0.000_);\(&quot;$&quot;#,##0.000\)"/>
    <numFmt numFmtId="187" formatCode="_(* #,##0.000_);_(* \(#,##0.000\);_(* &quot;-&quot;??_);_(@_)"/>
    <numFmt numFmtId="188" formatCode="_(* #,##0.0000_);_(* \(#,##0.0000\);_(* &quot;-&quot;??_);_(@_)"/>
    <numFmt numFmtId="189" formatCode="_(* #,##0.00000_);_(* \(#,##0.00000\);_(* &quot;-&quot;??_);_(@_)"/>
    <numFmt numFmtId="190" formatCode="0.00000%"/>
    <numFmt numFmtId="191" formatCode="_(&quot;$&quot;* #,##0.0_);_(&quot;$&quot;* \(#,##0.0\);_(&quot;$&quot;* &quot;-&quot;??_);_(@_)"/>
    <numFmt numFmtId="192" formatCode="0.0%"/>
    <numFmt numFmtId="193" formatCode="#,##0.000_);[Red]\(#,##0.000\)"/>
    <numFmt numFmtId="194" formatCode="#,##0.0000_);[Red]\(#,##0.0000\)"/>
    <numFmt numFmtId="195" formatCode="#,##0_);[Red]\(#,##0_)"/>
    <numFmt numFmtId="196" formatCode="_(* #,##0.0_);_(* \(#,##0.0\);_(* &quot;-&quot;?_);_(@_)"/>
    <numFmt numFmtId="197" formatCode="#,##0.0"/>
    <numFmt numFmtId="198" formatCode="&quot;$&quot;#,##0.000_);[Red]\(&quot;$&quot;#,##0.000\)"/>
    <numFmt numFmtId="199" formatCode="&quot;$&quot;#,##0.0_);[Red]\(&quot;$&quot;#,##0.0\)"/>
    <numFmt numFmtId="200" formatCode="#,##0.0_);\(#,##0.0\)"/>
    <numFmt numFmtId="201" formatCode="&quot;$&quot;#,##0.00"/>
    <numFmt numFmtId="202" formatCode="&quot;$&quot;#,##0.0"/>
    <numFmt numFmtId="203" formatCode="m/d"/>
    <numFmt numFmtId="204" formatCode="#,##0.00000000_);\(#,##0.00000000\)"/>
    <numFmt numFmtId="205" formatCode="#,##0.0000000_);\(#,##0.0000000\)"/>
    <numFmt numFmtId="206" formatCode="#,##0.000000_);\(#,##0.000000\)"/>
    <numFmt numFmtId="207" formatCode="#,##0.00000_);\(#,##0.00000\)"/>
    <numFmt numFmtId="208" formatCode="#,##0.0000_);\(#,##0.0000\)"/>
    <numFmt numFmtId="209" formatCode="#,##0.000_);\(#,##0.000\)"/>
    <numFmt numFmtId="210" formatCode="0.000"/>
    <numFmt numFmtId="211" formatCode="0.0000"/>
    <numFmt numFmtId="212" formatCode="0.00000"/>
    <numFmt numFmtId="213" formatCode="_(* #,##0.000000_);_(* \(#,##0.000000\);_(* &quot;-&quot;_);_(@_)"/>
    <numFmt numFmtId="214" formatCode="_(* #,##0.0000000_);_(* \(#,##0.0000000\);_(* &quot;-&quot;_);_(@_)"/>
    <numFmt numFmtId="215" formatCode="_(&quot;$&quot;* #,##0.000_);_(&quot;$&quot;* \(#,##0.000\);_(&quot;$&quot;* &quot;-&quot;??_);_(@_)"/>
    <numFmt numFmtId="216" formatCode="#,##0.000000000_);\(#,##0.000000000\)"/>
    <numFmt numFmtId="217" formatCode="0_);[Red]\(0\)"/>
    <numFmt numFmtId="218" formatCode="0.00_);[Red]\(0.00\)"/>
    <numFmt numFmtId="219" formatCode="#,##0.0000000000_);[Red]\(#,##0.0000000000\)"/>
    <numFmt numFmtId="220" formatCode="\(0%\)"/>
    <numFmt numFmtId="221" formatCode="\-\(0%\)"/>
    <numFmt numFmtId="222" formatCode="#,##0.000000000000_);\(#,##0.000000000000\)"/>
    <numFmt numFmtId="223" formatCode="0.0000000000%"/>
    <numFmt numFmtId="224" formatCode="0.000%"/>
  </numFmts>
  <fonts count="5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sz val="11"/>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8"/>
      <name val="Century Schoolbook"/>
      <family val="1"/>
    </font>
    <font>
      <sz val="15"/>
      <name val="Century Schoolbook"/>
      <family val="1"/>
    </font>
    <font>
      <sz val="13"/>
      <name val="Century Schoolbook"/>
      <family val="1"/>
    </font>
    <font>
      <u val="single"/>
      <sz val="11"/>
      <name val="Century Schoolbook"/>
      <family val="1"/>
    </font>
    <font>
      <sz val="12"/>
      <color indexed="9"/>
      <name val="Century Schoolbook"/>
      <family val="1"/>
    </font>
    <font>
      <sz val="11"/>
      <color indexed="10"/>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sz val="11"/>
      <color indexed="56"/>
      <name val="Century Schoolbook"/>
      <family val="1"/>
    </font>
    <font>
      <sz val="9"/>
      <name val="Century Schoolbook"/>
      <family val="1"/>
    </font>
    <font>
      <u val="single"/>
      <sz val="10"/>
      <color indexed="12"/>
      <name val="Arial"/>
      <family val="0"/>
    </font>
    <font>
      <u val="single"/>
      <sz val="10"/>
      <color indexed="20"/>
      <name val="Arial"/>
      <family val="0"/>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1"/>
      <color indexed="10"/>
      <name val="Century Schoolbook"/>
      <family val="1"/>
    </font>
    <font>
      <sz val="8"/>
      <name val="Tahoma"/>
      <family val="0"/>
    </font>
    <font>
      <b/>
      <sz val="24"/>
      <name val="Univers (W1)"/>
      <family val="0"/>
    </font>
    <font>
      <b/>
      <sz val="10"/>
      <color indexed="21"/>
      <name val="Univers (W1)"/>
      <family val="0"/>
    </font>
    <font>
      <b/>
      <sz val="10"/>
      <color indexed="51"/>
      <name val="Univers (W1)"/>
      <family val="0"/>
    </font>
    <font>
      <b/>
      <sz val="10"/>
      <name val="Univers (W1)"/>
      <family val="0"/>
    </font>
    <font>
      <sz val="10"/>
      <color indexed="20"/>
      <name val="Univers (W1)"/>
      <family val="0"/>
    </font>
    <font>
      <b/>
      <u val="single"/>
      <sz val="10"/>
      <name val="Univers (W1)"/>
      <family val="2"/>
    </font>
    <font>
      <b/>
      <u val="single"/>
      <sz val="10"/>
      <color indexed="21"/>
      <name val="Univers (W1)"/>
      <family val="0"/>
    </font>
    <font>
      <b/>
      <u val="single"/>
      <sz val="10"/>
      <color indexed="56"/>
      <name val="Univers (W1)"/>
      <family val="0"/>
    </font>
    <font>
      <b/>
      <u val="single"/>
      <sz val="10"/>
      <color indexed="20"/>
      <name val="Univers (W1)"/>
      <family val="0"/>
    </font>
    <font>
      <b/>
      <u val="single"/>
      <vertAlign val="subscript"/>
      <sz val="10"/>
      <name val="Univers (W1)"/>
      <family val="2"/>
    </font>
    <font>
      <b/>
      <sz val="10"/>
      <color indexed="56"/>
      <name val="Univers (W1)"/>
      <family val="0"/>
    </font>
    <font>
      <sz val="10"/>
      <name val="Univers (W1)"/>
      <family val="0"/>
    </font>
    <font>
      <sz val="10"/>
      <color indexed="21"/>
      <name val="Univers (W1)"/>
      <family val="0"/>
    </font>
    <font>
      <sz val="10"/>
      <color indexed="56"/>
      <name val="Univers (W1)"/>
      <family val="0"/>
    </font>
    <font>
      <b/>
      <sz val="10"/>
      <color indexed="20"/>
      <name val="Univers (W1)"/>
      <family val="0"/>
    </font>
    <font>
      <sz val="10"/>
      <color indexed="10"/>
      <name val="Arial"/>
      <family val="2"/>
    </font>
    <font>
      <b/>
      <sz val="10"/>
      <color indexed="9"/>
      <name val="Univers (W1)"/>
      <family val="0"/>
    </font>
    <font>
      <sz val="10"/>
      <color indexed="51"/>
      <name val="Univers (W1)"/>
      <family val="0"/>
    </font>
    <font>
      <b/>
      <sz val="10"/>
      <color indexed="8"/>
      <name val="Century Schoolbook"/>
      <family val="1"/>
    </font>
    <font>
      <sz val="12"/>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30">
    <border>
      <left/>
      <right/>
      <top/>
      <bottom/>
      <diagonal/>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thin"/>
      <top style="thin"/>
      <bottom style="thin"/>
    </border>
    <border>
      <left>
        <color indexed="63"/>
      </left>
      <right style="thin"/>
      <top style="thin"/>
      <bottom style="double"/>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489">
    <xf numFmtId="0" fontId="0" fillId="0" borderId="0" xfId="0" applyAlignment="1">
      <alignment/>
    </xf>
    <xf numFmtId="0" fontId="6"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xf>
    <xf numFmtId="0" fontId="12" fillId="0" borderId="0" xfId="0" applyFont="1" applyFill="1" applyAlignment="1">
      <alignment/>
    </xf>
    <xf numFmtId="0" fontId="12" fillId="0" borderId="0" xfId="0" applyFont="1" applyAlignment="1">
      <alignment/>
    </xf>
    <xf numFmtId="0" fontId="14" fillId="0" borderId="0" xfId="0" applyFont="1" applyFill="1" applyAlignment="1">
      <alignment horizontal="left" wrapText="1"/>
    </xf>
    <xf numFmtId="42" fontId="12" fillId="0" borderId="0" xfId="18" applyFont="1" applyFill="1" applyAlignment="1">
      <alignment horizontal="left" wrapText="1"/>
    </xf>
    <xf numFmtId="42" fontId="12" fillId="0" borderId="0" xfId="18" applyFont="1" applyFill="1" applyAlignment="1">
      <alignment horizontal="left"/>
    </xf>
    <xf numFmtId="42" fontId="9" fillId="0" borderId="0" xfId="18" applyFont="1" applyFill="1" applyAlignment="1">
      <alignment horizontal="center" wrapText="1"/>
    </xf>
    <xf numFmtId="42" fontId="12" fillId="0" borderId="0" xfId="18" applyFont="1" applyFill="1" applyAlignment="1">
      <alignment horizontal="right" wrapText="1"/>
    </xf>
    <xf numFmtId="42" fontId="14" fillId="0" borderId="0" xfId="18" applyFont="1" applyFill="1" applyAlignment="1">
      <alignment horizontal="left" wrapText="1"/>
    </xf>
    <xf numFmtId="42" fontId="9" fillId="0" borderId="0" xfId="18" applyFont="1" applyFill="1" applyAlignment="1">
      <alignment horizontal="left"/>
    </xf>
    <xf numFmtId="0" fontId="12" fillId="0" borderId="0" xfId="0" applyFont="1" applyBorder="1" applyAlignment="1">
      <alignment horizontal="centerContinuous"/>
    </xf>
    <xf numFmtId="0" fontId="12"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7" fillId="0" borderId="0" xfId="0" applyFont="1" applyBorder="1" applyAlignment="1">
      <alignment horizontal="centerContinuous"/>
    </xf>
    <xf numFmtId="0" fontId="5" fillId="0" borderId="0" xfId="0" applyFont="1" applyBorder="1" applyAlignment="1">
      <alignment/>
    </xf>
    <xf numFmtId="0" fontId="12" fillId="0" borderId="0" xfId="0" applyFont="1" applyBorder="1" applyAlignment="1">
      <alignment horizontal="left"/>
    </xf>
    <xf numFmtId="0" fontId="14" fillId="0" borderId="0" xfId="0" applyFont="1" applyBorder="1" applyAlignment="1">
      <alignment/>
    </xf>
    <xf numFmtId="38" fontId="12" fillId="0" borderId="0" xfId="0" applyNumberFormat="1" applyFont="1" applyBorder="1" applyAlignment="1">
      <alignment/>
    </xf>
    <xf numFmtId="38" fontId="12" fillId="0" borderId="0" xfId="0" applyNumberFormat="1" applyFont="1" applyAlignment="1">
      <alignment/>
    </xf>
    <xf numFmtId="5" fontId="12"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0" fontId="4" fillId="0" borderId="0" xfId="0" applyFont="1" applyFill="1" applyBorder="1" applyAlignment="1">
      <alignment horizontal="centerContinuous"/>
    </xf>
    <xf numFmtId="0" fontId="17" fillId="0" borderId="0" xfId="0" applyFont="1" applyFill="1" applyBorder="1" applyAlignment="1">
      <alignment/>
    </xf>
    <xf numFmtId="0" fontId="5" fillId="0" borderId="0" xfId="0" applyFont="1" applyFill="1" applyBorder="1" applyAlignment="1">
      <alignment/>
    </xf>
    <xf numFmtId="0" fontId="6" fillId="0" borderId="0" xfId="0" applyFont="1" applyBorder="1" applyAlignment="1">
      <alignment/>
    </xf>
    <xf numFmtId="0" fontId="9" fillId="0" borderId="1" xfId="0" applyFont="1" applyBorder="1" applyAlignment="1">
      <alignment horizontal="center" wrapText="1"/>
    </xf>
    <xf numFmtId="0" fontId="12" fillId="0" borderId="1" xfId="0" applyFont="1" applyBorder="1" applyAlignment="1">
      <alignment horizontal="left" wrapText="1"/>
    </xf>
    <xf numFmtId="0" fontId="12" fillId="0" borderId="0" xfId="0" applyFont="1" applyBorder="1" applyAlignment="1">
      <alignment horizontal="right"/>
    </xf>
    <xf numFmtId="0" fontId="12" fillId="0" borderId="0" xfId="0" applyFont="1" applyBorder="1" applyAlignment="1">
      <alignment horizontal="left" wrapText="1"/>
    </xf>
    <xf numFmtId="0" fontId="5" fillId="0" borderId="0" xfId="0" applyFont="1" applyBorder="1" applyAlignment="1">
      <alignment wrapText="1"/>
    </xf>
    <xf numFmtId="0" fontId="7" fillId="0" borderId="0" xfId="0" applyFont="1" applyBorder="1" applyAlignment="1">
      <alignment/>
    </xf>
    <xf numFmtId="0" fontId="9" fillId="0" borderId="0" xfId="0" applyFont="1" applyAlignment="1">
      <alignment/>
    </xf>
    <xf numFmtId="0" fontId="12" fillId="0" borderId="0" xfId="0" applyFont="1" applyAlignment="1">
      <alignment horizontal="right"/>
    </xf>
    <xf numFmtId="5" fontId="12" fillId="0" borderId="0" xfId="0" applyNumberFormat="1" applyFont="1" applyAlignment="1">
      <alignment horizontal="right"/>
    </xf>
    <xf numFmtId="0" fontId="16" fillId="0" borderId="0" xfId="0" applyFont="1" applyAlignment="1">
      <alignment/>
    </xf>
    <xf numFmtId="0" fontId="9" fillId="0" borderId="0" xfId="0" applyFont="1" applyFill="1" applyAlignment="1">
      <alignment horizontal="left" wrapText="1"/>
    </xf>
    <xf numFmtId="0" fontId="9" fillId="0" borderId="0" xfId="0" applyFont="1" applyFill="1" applyAlignment="1">
      <alignment horizontal="center" wrapText="1"/>
    </xf>
    <xf numFmtId="6" fontId="12" fillId="0" borderId="0" xfId="0" applyNumberFormat="1" applyFont="1" applyFill="1" applyAlignment="1">
      <alignment/>
    </xf>
    <xf numFmtId="0" fontId="9" fillId="0" borderId="0" xfId="0" applyFont="1" applyAlignment="1">
      <alignment horizontal="left" wrapText="1"/>
    </xf>
    <xf numFmtId="38" fontId="12" fillId="0" borderId="0" xfId="0" applyNumberFormat="1" applyFont="1" applyFill="1" applyAlignment="1">
      <alignment/>
    </xf>
    <xf numFmtId="38" fontId="9" fillId="0" borderId="0" xfId="0" applyNumberFormat="1" applyFont="1" applyFill="1" applyAlignment="1">
      <alignment horizontal="center"/>
    </xf>
    <xf numFmtId="38" fontId="21" fillId="0" borderId="0" xfId="0" applyNumberFormat="1" applyFont="1" applyFill="1" applyAlignment="1">
      <alignment horizontal="right"/>
    </xf>
    <xf numFmtId="38" fontId="9" fillId="0" borderId="0" xfId="0" applyNumberFormat="1" applyFont="1" applyFill="1" applyAlignment="1">
      <alignment horizontal="center" wrapText="1"/>
    </xf>
    <xf numFmtId="38" fontId="12" fillId="0" borderId="0" xfId="0" applyNumberFormat="1" applyFont="1" applyFill="1" applyBorder="1" applyAlignment="1">
      <alignment horizontal="left"/>
    </xf>
    <xf numFmtId="0" fontId="9" fillId="0" borderId="0" xfId="0" applyFont="1" applyFill="1" applyAlignment="1">
      <alignment horizontal="center"/>
    </xf>
    <xf numFmtId="0" fontId="4" fillId="2" borderId="0" xfId="0" applyFont="1" applyFill="1" applyBorder="1" applyAlignment="1" applyProtection="1">
      <alignment horizontal="centerContinuous"/>
      <protection locked="0"/>
    </xf>
    <xf numFmtId="0" fontId="17" fillId="0" borderId="0" xfId="0" applyFont="1" applyBorder="1" applyAlignment="1">
      <alignment/>
    </xf>
    <xf numFmtId="0" fontId="9" fillId="2" borderId="0" xfId="0" applyFont="1" applyFill="1" applyBorder="1" applyAlignment="1" applyProtection="1">
      <alignment/>
      <protection locked="0"/>
    </xf>
    <xf numFmtId="0" fontId="9" fillId="2" borderId="0" xfId="0" applyFont="1" applyFill="1" applyBorder="1" applyAlignment="1" applyProtection="1">
      <alignment horizontal="left"/>
      <protection locked="0"/>
    </xf>
    <xf numFmtId="0" fontId="12" fillId="2" borderId="0" xfId="0" applyFont="1" applyFill="1" applyBorder="1" applyAlignment="1" applyProtection="1">
      <alignment/>
      <protection locked="0"/>
    </xf>
    <xf numFmtId="41" fontId="12" fillId="2" borderId="0" xfId="0" applyNumberFormat="1" applyFont="1" applyFill="1" applyBorder="1" applyAlignment="1" applyProtection="1">
      <alignment/>
      <protection locked="0"/>
    </xf>
    <xf numFmtId="0" fontId="9" fillId="2" borderId="0" xfId="0" applyFont="1" applyFill="1" applyBorder="1" applyAlignment="1" applyProtection="1">
      <alignment horizontal="center"/>
      <protection locked="0"/>
    </xf>
    <xf numFmtId="8" fontId="12" fillId="0" borderId="0" xfId="0" applyNumberFormat="1" applyFont="1" applyBorder="1" applyAlignment="1">
      <alignment/>
    </xf>
    <xf numFmtId="6" fontId="9" fillId="0" borderId="0" xfId="0" applyNumberFormat="1" applyFont="1" applyBorder="1" applyAlignment="1">
      <alignment horizontal="right"/>
    </xf>
    <xf numFmtId="0" fontId="9" fillId="2" borderId="0" xfId="0" applyFont="1" applyFill="1" applyBorder="1" applyAlignment="1" applyProtection="1">
      <alignment horizontal="left" wrapText="1"/>
      <protection locked="0"/>
    </xf>
    <xf numFmtId="38" fontId="12" fillId="0" borderId="0" xfId="0" applyNumberFormat="1" applyFont="1" applyBorder="1" applyAlignment="1">
      <alignment horizontal="right"/>
    </xf>
    <xf numFmtId="0" fontId="9" fillId="0" borderId="0" xfId="0" applyFont="1" applyBorder="1" applyAlignment="1">
      <alignment horizontal="center" wrapText="1"/>
    </xf>
    <xf numFmtId="38" fontId="9" fillId="0" borderId="0" xfId="0" applyNumberFormat="1" applyFont="1" applyAlignment="1">
      <alignment/>
    </xf>
    <xf numFmtId="5" fontId="12" fillId="0" borderId="0" xfId="0" applyNumberFormat="1" applyFont="1" applyBorder="1" applyAlignment="1">
      <alignment horizontal="right"/>
    </xf>
    <xf numFmtId="164" fontId="12" fillId="0" borderId="0" xfId="0" applyNumberFormat="1" applyFont="1" applyBorder="1" applyAlignment="1">
      <alignment/>
    </xf>
    <xf numFmtId="0" fontId="23" fillId="0" borderId="0" xfId="0" applyFont="1" applyBorder="1" applyAlignment="1">
      <alignment horizontal="left" wrapText="1"/>
    </xf>
    <xf numFmtId="0" fontId="9" fillId="0" borderId="0" xfId="0" applyFont="1" applyBorder="1" applyAlignment="1">
      <alignment/>
    </xf>
    <xf numFmtId="164" fontId="12" fillId="0" borderId="0" xfId="15" applyNumberFormat="1" applyFont="1" applyBorder="1" applyAlignment="1">
      <alignment horizontal="right"/>
    </xf>
    <xf numFmtId="164" fontId="12" fillId="0" borderId="0" xfId="15" applyNumberFormat="1" applyFont="1" applyFill="1" applyAlignment="1">
      <alignment horizontal="right"/>
    </xf>
    <xf numFmtId="164" fontId="12" fillId="0" borderId="0" xfId="15" applyNumberFormat="1" applyFont="1" applyBorder="1" applyAlignment="1">
      <alignment/>
    </xf>
    <xf numFmtId="164" fontId="9" fillId="0" borderId="2" xfId="15" applyNumberFormat="1" applyFont="1" applyBorder="1" applyAlignment="1">
      <alignment horizontal="right"/>
    </xf>
    <xf numFmtId="164" fontId="9" fillId="0" borderId="3" xfId="15"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21"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27" fillId="0" borderId="0" xfId="0" applyFont="1" applyAlignment="1">
      <alignment/>
    </xf>
    <xf numFmtId="0" fontId="21" fillId="0" borderId="0" xfId="0" applyFont="1" applyBorder="1" applyAlignment="1">
      <alignment/>
    </xf>
    <xf numFmtId="164" fontId="12" fillId="0" borderId="2" xfId="15" applyNumberFormat="1" applyFont="1" applyFill="1" applyBorder="1" applyAlignment="1">
      <alignment horizontal="right"/>
    </xf>
    <xf numFmtId="0" fontId="8" fillId="0" borderId="0" xfId="0" applyFont="1" applyBorder="1" applyAlignment="1">
      <alignment horizontal="center"/>
    </xf>
    <xf numFmtId="0" fontId="12" fillId="0" borderId="0" xfId="0" applyFont="1" applyAlignment="1">
      <alignment horizontal="centerContinuous"/>
    </xf>
    <xf numFmtId="0" fontId="9" fillId="0" borderId="0" xfId="0" applyFont="1" applyAlignment="1">
      <alignment horizontal="centerContinuous"/>
    </xf>
    <xf numFmtId="164" fontId="12" fillId="0" borderId="0" xfId="15" applyNumberFormat="1" applyFont="1" applyFill="1" applyBorder="1" applyAlignment="1">
      <alignment horizontal="right"/>
    </xf>
    <xf numFmtId="164" fontId="12" fillId="0" borderId="4" xfId="15" applyNumberFormat="1" applyFont="1" applyBorder="1" applyAlignment="1">
      <alignment/>
    </xf>
    <xf numFmtId="164" fontId="6" fillId="0" borderId="0" xfId="15" applyNumberFormat="1" applyFont="1" applyAlignment="1">
      <alignment/>
    </xf>
    <xf numFmtId="164" fontId="9" fillId="2" borderId="0" xfId="15" applyNumberFormat="1" applyFont="1" applyFill="1" applyBorder="1" applyAlignment="1" applyProtection="1">
      <alignment horizontal="left"/>
      <protection locked="0"/>
    </xf>
    <xf numFmtId="0" fontId="9" fillId="0" borderId="5" xfId="0" applyFont="1" applyBorder="1" applyAlignment="1">
      <alignment horizontal="left" wrapText="1"/>
    </xf>
    <xf numFmtId="0" fontId="12" fillId="0" borderId="6" xfId="0" applyFont="1" applyBorder="1" applyAlignment="1">
      <alignment horizontal="center" wrapText="1"/>
    </xf>
    <xf numFmtId="0" fontId="9" fillId="0" borderId="5" xfId="0" applyFont="1" applyBorder="1" applyAlignment="1">
      <alignment horizontal="center" wrapText="1"/>
    </xf>
    <xf numFmtId="0" fontId="12" fillId="0" borderId="5" xfId="0" applyFont="1" applyBorder="1" applyAlignment="1">
      <alignment horizontal="left" wrapText="1"/>
    </xf>
    <xf numFmtId="0" fontId="9" fillId="0" borderId="7" xfId="0" applyFont="1" applyBorder="1" applyAlignment="1">
      <alignment horizontal="left" wrapText="1"/>
    </xf>
    <xf numFmtId="164" fontId="21" fillId="0" borderId="0" xfId="15" applyNumberFormat="1" applyFont="1" applyBorder="1" applyAlignment="1">
      <alignment/>
    </xf>
    <xf numFmtId="0" fontId="30"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8"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8" fillId="0" borderId="8" xfId="0" applyFont="1" applyBorder="1" applyAlignment="1">
      <alignment horizontal="centerContinuous"/>
    </xf>
    <xf numFmtId="43" fontId="12" fillId="0" borderId="0" xfId="0" applyNumberFormat="1" applyFont="1" applyBorder="1" applyAlignment="1">
      <alignment horizontal="right"/>
    </xf>
    <xf numFmtId="165" fontId="9" fillId="0" borderId="0" xfId="0" applyNumberFormat="1" applyFont="1" applyBorder="1" applyAlignment="1">
      <alignment horizontal="right"/>
    </xf>
    <xf numFmtId="0" fontId="21" fillId="0" borderId="0" xfId="0" applyFont="1" applyBorder="1" applyAlignment="1" quotePrefix="1">
      <alignment/>
    </xf>
    <xf numFmtId="39" fontId="21" fillId="0" borderId="0" xfId="0" applyNumberFormat="1" applyFont="1" applyAlignment="1">
      <alignment horizontal="right"/>
    </xf>
    <xf numFmtId="0" fontId="4" fillId="0" borderId="5" xfId="0" applyFont="1" applyBorder="1" applyAlignment="1">
      <alignment horizontal="centerContinuous"/>
    </xf>
    <xf numFmtId="0" fontId="12" fillId="0" borderId="5" xfId="0" applyFont="1" applyBorder="1" applyAlignment="1" quotePrefix="1">
      <alignment wrapText="1"/>
    </xf>
    <xf numFmtId="0" fontId="12" fillId="0" borderId="5" xfId="0" applyFont="1" applyBorder="1" applyAlignment="1">
      <alignment horizontal="center" wrapText="1"/>
    </xf>
    <xf numFmtId="164" fontId="5" fillId="0" borderId="0" xfId="0" applyNumberFormat="1" applyFont="1" applyFill="1" applyBorder="1" applyAlignment="1">
      <alignment/>
    </xf>
    <xf numFmtId="164" fontId="12" fillId="0" borderId="0" xfId="15" applyNumberFormat="1" applyFont="1" applyAlignment="1">
      <alignment/>
    </xf>
    <xf numFmtId="0" fontId="30" fillId="0" borderId="0" xfId="0" applyFont="1" applyFill="1" applyAlignment="1">
      <alignment horizontal="centerContinuous"/>
    </xf>
    <xf numFmtId="0" fontId="32" fillId="0" borderId="0" xfId="0" applyFont="1" applyAlignment="1">
      <alignment/>
    </xf>
    <xf numFmtId="0" fontId="32" fillId="0" borderId="0" xfId="0" applyFont="1" applyBorder="1" applyAlignment="1">
      <alignment/>
    </xf>
    <xf numFmtId="0" fontId="30" fillId="0" borderId="0" xfId="0" applyFont="1" applyBorder="1" applyAlignment="1">
      <alignment horizontal="centerContinuous"/>
    </xf>
    <xf numFmtId="0" fontId="33" fillId="2" borderId="0" xfId="0" applyFont="1" applyFill="1" applyBorder="1" applyAlignment="1" applyProtection="1">
      <alignment horizontal="centerContinuous"/>
      <protection locked="0"/>
    </xf>
    <xf numFmtId="0" fontId="34" fillId="0" borderId="0" xfId="0" applyFont="1" applyBorder="1" applyAlignment="1">
      <alignment/>
    </xf>
    <xf numFmtId="0" fontId="31" fillId="0" borderId="0" xfId="0" applyFont="1" applyBorder="1" applyAlignment="1">
      <alignment/>
    </xf>
    <xf numFmtId="38" fontId="20" fillId="0" borderId="0" xfId="0" applyNumberFormat="1" applyFont="1" applyBorder="1" applyAlignment="1">
      <alignment/>
    </xf>
    <xf numFmtId="0" fontId="9" fillId="0" borderId="0" xfId="0" applyNumberFormat="1" applyFont="1" applyAlignment="1">
      <alignment horizontal="right" wrapText="1"/>
    </xf>
    <xf numFmtId="38" fontId="21" fillId="0" borderId="0" xfId="0" applyNumberFormat="1" applyFont="1" applyFill="1" applyAlignment="1">
      <alignment/>
    </xf>
    <xf numFmtId="0" fontId="21" fillId="2" borderId="0" xfId="0" applyFont="1" applyFill="1" applyBorder="1" applyAlignment="1" applyProtection="1">
      <alignment/>
      <protection locked="0"/>
    </xf>
    <xf numFmtId="38" fontId="21" fillId="0" borderId="0" xfId="0" applyNumberFormat="1" applyFont="1" applyBorder="1" applyAlignment="1">
      <alignment/>
    </xf>
    <xf numFmtId="38" fontId="21" fillId="0" borderId="0" xfId="0" applyNumberFormat="1" applyFont="1" applyBorder="1" applyAlignment="1">
      <alignment horizontal="right"/>
    </xf>
    <xf numFmtId="164" fontId="30" fillId="0" borderId="0" xfId="15" applyNumberFormat="1" applyFont="1" applyFill="1" applyAlignment="1">
      <alignment horizontal="centerContinuous"/>
    </xf>
    <xf numFmtId="164" fontId="5" fillId="0" borderId="0" xfId="15" applyNumberFormat="1" applyFont="1" applyAlignment="1">
      <alignment horizontal="centerContinuous"/>
    </xf>
    <xf numFmtId="164" fontId="9" fillId="0" borderId="0" xfId="15" applyNumberFormat="1" applyFont="1" applyFill="1" applyAlignment="1">
      <alignment horizontal="centerContinuous"/>
    </xf>
    <xf numFmtId="164" fontId="13" fillId="3" borderId="0" xfId="15" applyNumberFormat="1" applyFont="1" applyFill="1" applyAlignment="1">
      <alignment horizontal="centerContinuous" wrapText="1"/>
    </xf>
    <xf numFmtId="164" fontId="12" fillId="0" borderId="0" xfId="15" applyNumberFormat="1" applyFont="1" applyFill="1" applyAlignment="1">
      <alignment/>
    </xf>
    <xf numFmtId="164" fontId="21" fillId="0" borderId="0" xfId="15" applyNumberFormat="1" applyFont="1" applyFill="1" applyAlignment="1">
      <alignment horizontal="right"/>
    </xf>
    <xf numFmtId="164" fontId="9" fillId="0" borderId="0" xfId="15" applyNumberFormat="1" applyFont="1" applyFill="1" applyAlignment="1">
      <alignment horizontal="left" indent="1"/>
    </xf>
    <xf numFmtId="164" fontId="6" fillId="0" borderId="0" xfId="15" applyNumberFormat="1" applyFont="1" applyAlignment="1">
      <alignment horizontal="left" indent="1"/>
    </xf>
    <xf numFmtId="164" fontId="12" fillId="2" borderId="0" xfId="15" applyNumberFormat="1" applyFont="1" applyFill="1" applyBorder="1" applyAlignment="1" applyProtection="1">
      <alignment horizontal="left" indent="1"/>
      <protection locked="0"/>
    </xf>
    <xf numFmtId="164" fontId="12" fillId="0" borderId="0" xfId="15" applyNumberFormat="1" applyFont="1" applyFill="1" applyAlignment="1">
      <alignment horizontal="left" indent="1"/>
    </xf>
    <xf numFmtId="164" fontId="12" fillId="0" borderId="0" xfId="15" applyNumberFormat="1" applyFont="1" applyAlignment="1">
      <alignment horizontal="left" indent="1"/>
    </xf>
    <xf numFmtId="164" fontId="12" fillId="0" borderId="4" xfId="15" applyNumberFormat="1" applyFont="1" applyBorder="1" applyAlignment="1">
      <alignment horizontal="left" indent="1"/>
    </xf>
    <xf numFmtId="164" fontId="12" fillId="0" borderId="2" xfId="15" applyNumberFormat="1" applyFont="1" applyBorder="1" applyAlignment="1">
      <alignment horizontal="left" indent="1"/>
    </xf>
    <xf numFmtId="164" fontId="9" fillId="0" borderId="3" xfId="15" applyNumberFormat="1" applyFont="1" applyBorder="1" applyAlignment="1">
      <alignment horizontal="left" indent="1"/>
    </xf>
    <xf numFmtId="164" fontId="9" fillId="0" borderId="0" xfId="15" applyNumberFormat="1" applyFont="1" applyAlignment="1">
      <alignment horizontal="left" indent="1"/>
    </xf>
    <xf numFmtId="164" fontId="21" fillId="0" borderId="0" xfId="15" applyNumberFormat="1" applyFont="1" applyFill="1" applyAlignment="1">
      <alignment horizontal="left" indent="1"/>
    </xf>
    <xf numFmtId="164" fontId="12" fillId="0" borderId="2" xfId="15" applyNumberFormat="1" applyFont="1" applyFill="1" applyBorder="1" applyAlignment="1">
      <alignment horizontal="left" indent="1"/>
    </xf>
    <xf numFmtId="164" fontId="12" fillId="0" borderId="0" xfId="15" applyNumberFormat="1" applyFont="1" applyFill="1" applyBorder="1" applyAlignment="1">
      <alignment horizontal="left" indent="1"/>
    </xf>
    <xf numFmtId="164" fontId="9"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22" fillId="0" borderId="0" xfId="15" applyNumberFormat="1" applyFont="1" applyBorder="1" applyAlignment="1">
      <alignment horizontal="left" indent="1"/>
    </xf>
    <xf numFmtId="164" fontId="12" fillId="0" borderId="0" xfId="15" applyNumberFormat="1" applyFont="1" applyBorder="1" applyAlignment="1">
      <alignment horizontal="left" vertical="center" indent="1"/>
    </xf>
    <xf numFmtId="164" fontId="12" fillId="0" borderId="0" xfId="15" applyNumberFormat="1" applyFont="1" applyBorder="1" applyAlignment="1">
      <alignment horizontal="left" indent="1"/>
    </xf>
    <xf numFmtId="164" fontId="13" fillId="3" borderId="0" xfId="15" applyNumberFormat="1" applyFont="1" applyFill="1" applyAlignment="1">
      <alignment horizontal="center" wrapText="1"/>
    </xf>
    <xf numFmtId="164" fontId="13" fillId="4" borderId="0" xfId="15" applyNumberFormat="1" applyFont="1" applyFill="1" applyBorder="1" applyAlignment="1" applyProtection="1">
      <alignment horizontal="center" wrapText="1"/>
      <protection locked="0"/>
    </xf>
    <xf numFmtId="164" fontId="33" fillId="2" borderId="0" xfId="15" applyNumberFormat="1" applyFont="1" applyFill="1" applyBorder="1" applyAlignment="1" applyProtection="1">
      <alignment horizontal="centerContinuous"/>
      <protection locked="0"/>
    </xf>
    <xf numFmtId="164" fontId="34"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2" borderId="0" xfId="15" applyNumberFormat="1" applyFont="1" applyFill="1" applyBorder="1" applyAlignment="1" applyProtection="1">
      <alignment horizontal="centerContinuous"/>
      <protection locked="0"/>
    </xf>
    <xf numFmtId="164" fontId="11" fillId="2" borderId="0" xfId="15" applyNumberFormat="1" applyFont="1" applyFill="1" applyBorder="1" applyAlignment="1" applyProtection="1">
      <alignment horizontal="centerContinuous"/>
      <protection locked="0"/>
    </xf>
    <xf numFmtId="164" fontId="11" fillId="2" borderId="0" xfId="15" applyNumberFormat="1" applyFont="1" applyFill="1" applyBorder="1" applyAlignment="1" applyProtection="1">
      <alignment horizontal="centerContinuous" wrapText="1"/>
      <protection locked="0"/>
    </xf>
    <xf numFmtId="164" fontId="12" fillId="2" borderId="0" xfId="15" applyNumberFormat="1" applyFont="1" applyFill="1" applyBorder="1" applyAlignment="1" applyProtection="1">
      <alignment/>
      <protection locked="0"/>
    </xf>
    <xf numFmtId="164" fontId="12" fillId="0" borderId="0" xfId="15" applyNumberFormat="1" applyFont="1" applyAlignment="1">
      <alignment horizontal="right"/>
    </xf>
    <xf numFmtId="164" fontId="12" fillId="0" borderId="2" xfId="15" applyNumberFormat="1" applyFont="1" applyBorder="1" applyAlignment="1">
      <alignment horizontal="right"/>
    </xf>
    <xf numFmtId="164" fontId="9" fillId="2" borderId="0" xfId="15" applyNumberFormat="1" applyFont="1" applyFill="1" applyBorder="1" applyAlignment="1" applyProtection="1">
      <alignment horizontal="center"/>
      <protection locked="0"/>
    </xf>
    <xf numFmtId="164" fontId="9" fillId="0" borderId="0" xfId="15" applyNumberFormat="1" applyFont="1" applyBorder="1" applyAlignment="1">
      <alignment horizontal="right"/>
    </xf>
    <xf numFmtId="164" fontId="30" fillId="0" borderId="0" xfId="15" applyNumberFormat="1" applyFont="1" applyBorder="1" applyAlignment="1">
      <alignment horizontal="centerContinuous"/>
    </xf>
    <xf numFmtId="164" fontId="32" fillId="0" borderId="0" xfId="15" applyNumberFormat="1" applyFont="1" applyBorder="1" applyAlignment="1">
      <alignment horizontal="centerContinuous"/>
    </xf>
    <xf numFmtId="164" fontId="12" fillId="0" borderId="0" xfId="15" applyNumberFormat="1" applyFont="1" applyBorder="1" applyAlignment="1">
      <alignment horizontal="centerContinuous"/>
    </xf>
    <xf numFmtId="164" fontId="13" fillId="3" borderId="0" xfId="15" applyNumberFormat="1" applyFont="1" applyFill="1" applyBorder="1" applyAlignment="1">
      <alignment horizontal="centerContinuous" wrapText="1"/>
    </xf>
    <xf numFmtId="164" fontId="13" fillId="3" borderId="0" xfId="15" applyNumberFormat="1" applyFont="1" applyFill="1" applyBorder="1" applyAlignment="1">
      <alignment horizontal="center" wrapText="1"/>
    </xf>
    <xf numFmtId="164" fontId="12" fillId="0" borderId="0" xfId="15" applyNumberFormat="1" applyFont="1" applyBorder="1" applyAlignment="1">
      <alignment horizontal="left" wrapText="1"/>
    </xf>
    <xf numFmtId="164" fontId="18" fillId="0" borderId="0" xfId="15" applyNumberFormat="1" applyFont="1" applyBorder="1" applyAlignment="1">
      <alignment horizontal="right"/>
    </xf>
    <xf numFmtId="43" fontId="12" fillId="0" borderId="0" xfId="0" applyNumberFormat="1" applyFont="1" applyBorder="1" applyAlignment="1">
      <alignment/>
    </xf>
    <xf numFmtId="164" fontId="12" fillId="0" borderId="9" xfId="15" applyNumberFormat="1" applyFont="1" applyFill="1" applyBorder="1" applyAlignment="1">
      <alignment/>
    </xf>
    <xf numFmtId="164" fontId="12" fillId="0" borderId="9" xfId="15" applyNumberFormat="1" applyFont="1" applyFill="1" applyBorder="1" applyAlignment="1">
      <alignment horizontal="left"/>
    </xf>
    <xf numFmtId="164" fontId="12" fillId="0" borderId="1" xfId="15" applyNumberFormat="1" applyFont="1" applyFill="1" applyBorder="1" applyAlignment="1">
      <alignment horizontal="left"/>
    </xf>
    <xf numFmtId="164" fontId="26" fillId="0" borderId="1" xfId="15" applyNumberFormat="1" applyFont="1" applyFill="1" applyBorder="1" applyAlignment="1">
      <alignment horizontal="left"/>
    </xf>
    <xf numFmtId="164" fontId="25" fillId="0" borderId="1" xfId="15" applyNumberFormat="1" applyFont="1" applyFill="1" applyBorder="1" applyAlignment="1">
      <alignment horizontal="left"/>
    </xf>
    <xf numFmtId="164" fontId="12" fillId="0" borderId="0" xfId="15" applyNumberFormat="1" applyFont="1" applyFill="1" applyAlignment="1">
      <alignment horizontal="left"/>
    </xf>
    <xf numFmtId="164" fontId="9" fillId="0" borderId="0" xfId="15" applyNumberFormat="1" applyFont="1" applyFill="1" applyAlignment="1">
      <alignment horizontal="left"/>
    </xf>
    <xf numFmtId="164" fontId="9" fillId="0" borderId="0" xfId="15" applyNumberFormat="1" applyFont="1" applyAlignment="1">
      <alignment/>
    </xf>
    <xf numFmtId="164" fontId="12" fillId="0" borderId="4" xfId="15" applyNumberFormat="1" applyFont="1" applyFill="1" applyBorder="1" applyAlignment="1">
      <alignment horizontal="right"/>
    </xf>
    <xf numFmtId="164" fontId="9" fillId="0" borderId="0" xfId="15" applyNumberFormat="1" applyFont="1" applyFill="1" applyBorder="1" applyAlignment="1">
      <alignment horizontal="left"/>
    </xf>
    <xf numFmtId="164" fontId="12" fillId="0" borderId="0" xfId="15" applyNumberFormat="1" applyFont="1" applyFill="1" applyBorder="1" applyAlignment="1">
      <alignment horizontal="left"/>
    </xf>
    <xf numFmtId="164" fontId="9" fillId="0" borderId="0" xfId="15" applyNumberFormat="1" applyFont="1" applyFill="1" applyBorder="1" applyAlignment="1">
      <alignment horizontal="right"/>
    </xf>
    <xf numFmtId="164" fontId="12" fillId="0" borderId="4" xfId="15" applyNumberFormat="1" applyFont="1" applyFill="1" applyBorder="1" applyAlignment="1">
      <alignment horizontal="left"/>
    </xf>
    <xf numFmtId="164" fontId="9" fillId="0" borderId="4" xfId="15" applyNumberFormat="1" applyFont="1" applyFill="1" applyBorder="1" applyAlignment="1">
      <alignment horizontal="left"/>
    </xf>
    <xf numFmtId="164" fontId="9" fillId="0" borderId="2" xfId="15" applyNumberFormat="1" applyFont="1" applyFill="1" applyBorder="1" applyAlignment="1">
      <alignment horizontal="right"/>
    </xf>
    <xf numFmtId="164" fontId="9" fillId="0" borderId="0" xfId="15" applyNumberFormat="1" applyFont="1" applyFill="1" applyAlignment="1">
      <alignment horizontal="right"/>
    </xf>
    <xf numFmtId="164" fontId="12" fillId="0" borderId="0" xfId="15" applyNumberFormat="1" applyFont="1" applyAlignment="1">
      <alignment horizontal="left"/>
    </xf>
    <xf numFmtId="164" fontId="9" fillId="3" borderId="6" xfId="15" applyNumberFormat="1" applyFont="1" applyFill="1" applyBorder="1" applyAlignment="1" quotePrefix="1">
      <alignment horizontal="centerContinuous"/>
    </xf>
    <xf numFmtId="164" fontId="9" fillId="3" borderId="7" xfId="15" applyNumberFormat="1" applyFont="1" applyFill="1" applyBorder="1" applyAlignment="1">
      <alignment horizontal="centerContinuous"/>
    </xf>
    <xf numFmtId="164" fontId="12" fillId="0" borderId="4" xfId="15" applyNumberFormat="1" applyFont="1" applyBorder="1" applyAlignment="1">
      <alignment horizontal="right"/>
    </xf>
    <xf numFmtId="164" fontId="23" fillId="0" borderId="0" xfId="15" applyNumberFormat="1" applyFont="1" applyBorder="1" applyAlignment="1">
      <alignment horizontal="right"/>
    </xf>
    <xf numFmtId="164" fontId="5" fillId="0" borderId="0" xfId="15" applyNumberFormat="1" applyFont="1" applyBorder="1" applyAlignment="1">
      <alignment/>
    </xf>
    <xf numFmtId="164" fontId="9" fillId="3" borderId="10" xfId="15" applyNumberFormat="1" applyFont="1" applyFill="1" applyBorder="1" applyAlignment="1" quotePrefix="1">
      <alignment horizontal="centerContinuous" wrapText="1"/>
    </xf>
    <xf numFmtId="164" fontId="9" fillId="3" borderId="4" xfId="15" applyNumberFormat="1" applyFont="1" applyFill="1" applyBorder="1" applyAlignment="1">
      <alignment horizontal="centerContinuous"/>
    </xf>
    <xf numFmtId="164" fontId="12" fillId="5" borderId="4" xfId="15" applyNumberFormat="1" applyFont="1" applyBorder="1" applyAlignment="1">
      <alignment horizontal="right"/>
    </xf>
    <xf numFmtId="164" fontId="12" fillId="0" borderId="11" xfId="15" applyNumberFormat="1" applyFont="1" applyBorder="1" applyAlignment="1">
      <alignment horizontal="centerContinuous"/>
    </xf>
    <xf numFmtId="164" fontId="12" fillId="3" borderId="12" xfId="15" applyNumberFormat="1" applyFont="1" applyFill="1" applyBorder="1" applyAlignment="1">
      <alignment horizontal="centerContinuous"/>
    </xf>
    <xf numFmtId="164" fontId="9" fillId="3" borderId="13" xfId="15" applyNumberFormat="1" applyFont="1" applyFill="1" applyBorder="1" applyAlignment="1">
      <alignment horizontal="centerContinuous"/>
    </xf>
    <xf numFmtId="164" fontId="12" fillId="5" borderId="11" xfId="15" applyNumberFormat="1" applyFont="1" applyBorder="1" applyAlignment="1">
      <alignment horizontal="right"/>
    </xf>
    <xf numFmtId="164" fontId="9" fillId="5" borderId="13" xfId="15" applyNumberFormat="1" applyFont="1" applyBorder="1" applyAlignment="1">
      <alignment horizontal="right"/>
    </xf>
    <xf numFmtId="164" fontId="12" fillId="5" borderId="13" xfId="15" applyNumberFormat="1" applyFont="1" applyBorder="1" applyAlignment="1">
      <alignment horizontal="right"/>
    </xf>
    <xf numFmtId="164" fontId="9" fillId="5" borderId="11" xfId="15" applyNumberFormat="1" applyFont="1" applyBorder="1" applyAlignment="1">
      <alignment horizontal="right"/>
    </xf>
    <xf numFmtId="164" fontId="12" fillId="0" borderId="11" xfId="15" applyNumberFormat="1" applyFont="1" applyBorder="1" applyAlignment="1">
      <alignment horizontal="right"/>
    </xf>
    <xf numFmtId="164" fontId="24" fillId="0" borderId="0" xfId="15" applyNumberFormat="1" applyFont="1" applyBorder="1" applyAlignment="1">
      <alignment horizontal="right"/>
    </xf>
    <xf numFmtId="164" fontId="5" fillId="0" borderId="0" xfId="15" applyNumberFormat="1" applyFont="1" applyBorder="1" applyAlignment="1">
      <alignment horizontal="centerContinuous"/>
    </xf>
    <xf numFmtId="164" fontId="12" fillId="0" borderId="0" xfId="15" applyNumberFormat="1" applyFont="1" applyBorder="1" applyAlignment="1">
      <alignment horizontal="left"/>
    </xf>
    <xf numFmtId="164" fontId="9" fillId="3" borderId="0" xfId="15" applyNumberFormat="1" applyFont="1" applyFill="1" applyBorder="1" applyAlignment="1">
      <alignment horizontal="centerContinuous"/>
    </xf>
    <xf numFmtId="164" fontId="14" fillId="0" borderId="0" xfId="15" applyNumberFormat="1" applyFont="1" applyBorder="1" applyAlignment="1">
      <alignment/>
    </xf>
    <xf numFmtId="164" fontId="14" fillId="0" borderId="11" xfId="15" applyNumberFormat="1" applyFont="1" applyBorder="1" applyAlignment="1">
      <alignment/>
    </xf>
    <xf numFmtId="164" fontId="12" fillId="0" borderId="11" xfId="15" applyNumberFormat="1" applyFont="1" applyBorder="1" applyAlignment="1">
      <alignment/>
    </xf>
    <xf numFmtId="164" fontId="12" fillId="0" borderId="13" xfId="15" applyNumberFormat="1" applyFont="1" applyBorder="1" applyAlignment="1">
      <alignment/>
    </xf>
    <xf numFmtId="164" fontId="12" fillId="0" borderId="14" xfId="15" applyNumberFormat="1" applyFont="1" applyBorder="1" applyAlignment="1">
      <alignment/>
    </xf>
    <xf numFmtId="38" fontId="12" fillId="0" borderId="0" xfId="0" applyNumberFormat="1" applyFont="1" applyAlignment="1">
      <alignment horizontal="left"/>
    </xf>
    <xf numFmtId="5" fontId="9" fillId="0" borderId="3" xfId="15" applyNumberFormat="1" applyFont="1" applyBorder="1" applyAlignment="1">
      <alignment horizontal="right"/>
    </xf>
    <xf numFmtId="5" fontId="9" fillId="0" borderId="3" xfId="15" applyNumberFormat="1" applyFont="1" applyFill="1" applyBorder="1" applyAlignment="1">
      <alignment horizontal="right"/>
    </xf>
    <xf numFmtId="164" fontId="19" fillId="0" borderId="0" xfId="15" applyNumberFormat="1" applyFont="1" applyAlignment="1">
      <alignment/>
    </xf>
    <xf numFmtId="164" fontId="9" fillId="0" borderId="6" xfId="15" applyNumberFormat="1" applyFont="1" applyBorder="1" applyAlignment="1">
      <alignment horizontal="centerContinuous"/>
    </xf>
    <xf numFmtId="164" fontId="12" fillId="0" borderId="5" xfId="15" applyNumberFormat="1" applyFont="1" applyBorder="1" applyAlignment="1">
      <alignment horizontal="right"/>
    </xf>
    <xf numFmtId="164" fontId="12" fillId="0" borderId="7" xfId="15" applyNumberFormat="1" applyFont="1" applyBorder="1" applyAlignment="1">
      <alignment horizontal="right"/>
    </xf>
    <xf numFmtId="164" fontId="18" fillId="0" borderId="5" xfId="15" applyNumberFormat="1" applyFont="1" applyBorder="1" applyAlignment="1">
      <alignment horizontal="right"/>
    </xf>
    <xf numFmtId="164" fontId="9" fillId="0" borderId="10" xfId="15" applyNumberFormat="1" applyFont="1" applyBorder="1" applyAlignment="1">
      <alignment horizontal="centerContinuous"/>
    </xf>
    <xf numFmtId="164" fontId="9" fillId="0" borderId="12" xfId="15" applyNumberFormat="1" applyFont="1" applyBorder="1" applyAlignment="1">
      <alignment horizontal="centerContinuous"/>
    </xf>
    <xf numFmtId="164" fontId="12" fillId="0" borderId="13" xfId="15" applyNumberFormat="1" applyFont="1" applyBorder="1" applyAlignment="1">
      <alignment horizontal="right"/>
    </xf>
    <xf numFmtId="164" fontId="12" fillId="0" borderId="5" xfId="15" applyNumberFormat="1" applyFont="1" applyBorder="1" applyAlignment="1">
      <alignment/>
    </xf>
    <xf numFmtId="164" fontId="17" fillId="0" borderId="0" xfId="15" applyNumberFormat="1" applyFont="1" applyBorder="1" applyAlignment="1">
      <alignment horizontal="centerContinuous"/>
    </xf>
    <xf numFmtId="164" fontId="5" fillId="0" borderId="0" xfId="15" applyNumberFormat="1" applyFont="1" applyFill="1" applyBorder="1" applyAlignment="1">
      <alignment/>
    </xf>
    <xf numFmtId="164" fontId="17" fillId="0" borderId="0" xfId="15" applyNumberFormat="1" applyFont="1" applyFill="1" applyBorder="1" applyAlignment="1">
      <alignment horizontal="centerContinuous"/>
    </xf>
    <xf numFmtId="164" fontId="5" fillId="0" borderId="0" xfId="15" applyNumberFormat="1" applyFont="1" applyFill="1" applyBorder="1" applyAlignment="1">
      <alignment horizontal="right"/>
    </xf>
    <xf numFmtId="164" fontId="12" fillId="0" borderId="15" xfId="15" applyNumberFormat="1" applyFont="1" applyBorder="1" applyAlignment="1">
      <alignment/>
    </xf>
    <xf numFmtId="164" fontId="20" fillId="0" borderId="0" xfId="15" applyNumberFormat="1" applyFont="1" applyBorder="1" applyAlignment="1">
      <alignment/>
    </xf>
    <xf numFmtId="164" fontId="14" fillId="0" borderId="0" xfId="15" applyNumberFormat="1" applyFont="1" applyBorder="1" applyAlignment="1">
      <alignment horizontal="right" vertical="center"/>
    </xf>
    <xf numFmtId="164" fontId="22" fillId="0" borderId="0" xfId="15" applyNumberFormat="1" applyFont="1" applyBorder="1" applyAlignment="1">
      <alignment horizontal="right"/>
    </xf>
    <xf numFmtId="164" fontId="12" fillId="0" borderId="0" xfId="15" applyNumberFormat="1" applyFont="1" applyBorder="1" applyAlignment="1">
      <alignment horizontal="right" vertical="center"/>
    </xf>
    <xf numFmtId="43" fontId="9" fillId="0" borderId="3" xfId="15" applyFont="1" applyBorder="1" applyAlignment="1">
      <alignment horizontal="right"/>
    </xf>
    <xf numFmtId="5" fontId="12" fillId="0" borderId="0" xfId="15" applyNumberFormat="1" applyFont="1" applyBorder="1" applyAlignment="1">
      <alignment horizontal="right"/>
    </xf>
    <xf numFmtId="5" fontId="12" fillId="0" borderId="0" xfId="15" applyNumberFormat="1" applyFont="1" applyFill="1" applyAlignment="1">
      <alignment horizontal="right"/>
    </xf>
    <xf numFmtId="0" fontId="8" fillId="0" borderId="16" xfId="0" applyFont="1" applyBorder="1" applyAlignment="1">
      <alignment horizontal="center"/>
    </xf>
    <xf numFmtId="9" fontId="9" fillId="0" borderId="0" xfId="21" applyFont="1" applyAlignment="1">
      <alignment/>
    </xf>
    <xf numFmtId="10" fontId="9" fillId="0" borderId="0" xfId="21" applyNumberFormat="1" applyFont="1" applyAlignment="1">
      <alignment/>
    </xf>
    <xf numFmtId="0" fontId="0" fillId="0" borderId="0" xfId="0" applyAlignment="1">
      <alignment horizontal="left"/>
    </xf>
    <xf numFmtId="164" fontId="37" fillId="0" borderId="0" xfId="15" applyNumberFormat="1" applyFont="1" applyAlignment="1">
      <alignment/>
    </xf>
    <xf numFmtId="164" fontId="0" fillId="0" borderId="0" xfId="15" applyNumberFormat="1" applyAlignment="1">
      <alignment/>
    </xf>
    <xf numFmtId="164" fontId="38" fillId="0" borderId="0" xfId="15" applyNumberFormat="1" applyFont="1" applyAlignment="1">
      <alignment/>
    </xf>
    <xf numFmtId="164" fontId="39" fillId="0" borderId="0" xfId="15" applyNumberFormat="1" applyFont="1" applyAlignment="1">
      <alignment/>
    </xf>
    <xf numFmtId="164" fontId="40" fillId="0" borderId="0" xfId="15" applyNumberFormat="1" applyFont="1" applyBorder="1" applyAlignment="1">
      <alignment/>
    </xf>
    <xf numFmtId="164" fontId="41" fillId="0" borderId="0" xfId="15" applyNumberFormat="1" applyFont="1" applyAlignment="1">
      <alignment/>
    </xf>
    <xf numFmtId="164" fontId="42" fillId="0" borderId="0" xfId="15" applyNumberFormat="1" applyFont="1" applyAlignment="1">
      <alignment horizontal="center" vertical="top" wrapText="1"/>
    </xf>
    <xf numFmtId="14" fontId="42" fillId="0" borderId="0" xfId="15" applyNumberFormat="1" applyFont="1" applyAlignment="1">
      <alignment horizontal="center" vertical="top" wrapText="1"/>
    </xf>
    <xf numFmtId="14" fontId="43" fillId="0" borderId="0" xfId="15" applyNumberFormat="1" applyFont="1" applyAlignment="1">
      <alignment horizontal="center" vertical="top" wrapText="1"/>
    </xf>
    <xf numFmtId="14" fontId="44" fillId="0" borderId="0" xfId="15" applyNumberFormat="1" applyFont="1" applyAlignment="1">
      <alignment horizontal="center" vertical="top" wrapText="1"/>
    </xf>
    <xf numFmtId="164" fontId="42" fillId="0" borderId="0" xfId="15" applyNumberFormat="1" applyFont="1" applyBorder="1" applyAlignment="1">
      <alignment horizontal="center" vertical="top" wrapText="1"/>
    </xf>
    <xf numFmtId="164" fontId="45" fillId="0" borderId="0" xfId="15" applyNumberFormat="1" applyFont="1" applyAlignment="1">
      <alignment horizontal="center" vertical="top" wrapText="1"/>
    </xf>
    <xf numFmtId="0" fontId="42" fillId="0" borderId="0" xfId="0" applyFont="1" applyAlignment="1">
      <alignment horizontal="center" vertical="top" wrapText="1"/>
    </xf>
    <xf numFmtId="0" fontId="0" fillId="0" borderId="0" xfId="0" applyFont="1" applyAlignment="1">
      <alignment/>
    </xf>
    <xf numFmtId="164" fontId="43" fillId="0" borderId="0" xfId="15" applyNumberFormat="1" applyFont="1" applyAlignment="1">
      <alignment horizontal="center" vertical="top" wrapText="1"/>
    </xf>
    <xf numFmtId="164" fontId="44" fillId="0" borderId="0" xfId="15" applyNumberFormat="1" applyFont="1" applyAlignment="1">
      <alignment horizontal="center" vertical="top" wrapText="1"/>
    </xf>
    <xf numFmtId="164" fontId="42" fillId="0" borderId="8" xfId="15" applyNumberFormat="1" applyFont="1" applyBorder="1" applyAlignment="1">
      <alignment horizontal="center" vertical="top" wrapText="1"/>
    </xf>
    <xf numFmtId="0" fontId="40" fillId="0" borderId="0" xfId="0" applyFont="1" applyAlignment="1">
      <alignment horizontal="center"/>
    </xf>
    <xf numFmtId="164" fontId="46" fillId="0" borderId="0" xfId="15" applyNumberFormat="1" applyFont="1" applyAlignment="1">
      <alignment horizontal="center" vertical="top" wrapText="1"/>
    </xf>
    <xf numFmtId="164" fontId="42" fillId="0" borderId="17" xfId="15" applyNumberFormat="1" applyFont="1" applyBorder="1" applyAlignment="1">
      <alignment horizontal="center" vertical="top" wrapText="1"/>
    </xf>
    <xf numFmtId="164" fontId="47" fillId="0" borderId="0" xfId="15" applyNumberFormat="1" applyFont="1" applyAlignment="1">
      <alignment/>
    </xf>
    <xf numFmtId="164" fontId="40" fillId="0" borderId="18" xfId="15" applyNumberFormat="1" applyFont="1" applyBorder="1" applyAlignment="1">
      <alignment/>
    </xf>
    <xf numFmtId="164" fontId="48" fillId="0" borderId="0" xfId="15" applyNumberFormat="1" applyFont="1" applyAlignment="1">
      <alignment/>
    </xf>
    <xf numFmtId="164" fontId="49" fillId="0" borderId="0" xfId="15" applyNumberFormat="1" applyFont="1" applyAlignment="1">
      <alignment/>
    </xf>
    <xf numFmtId="164" fontId="50" fillId="0" borderId="0" xfId="15" applyNumberFormat="1" applyFont="1" applyAlignment="1">
      <alignment/>
    </xf>
    <xf numFmtId="164" fontId="40" fillId="0" borderId="19" xfId="15" applyNumberFormat="1" applyFont="1" applyBorder="1" applyAlignment="1">
      <alignment/>
    </xf>
    <xf numFmtId="44" fontId="0" fillId="0" borderId="0" xfId="17" applyAlignment="1">
      <alignment/>
    </xf>
    <xf numFmtId="164" fontId="42" fillId="0" borderId="0" xfId="15" applyNumberFormat="1" applyFont="1" applyAlignment="1">
      <alignment/>
    </xf>
    <xf numFmtId="0" fontId="40" fillId="0" borderId="0" xfId="0" applyFont="1" applyAlignment="1">
      <alignment/>
    </xf>
    <xf numFmtId="164" fontId="40" fillId="0" borderId="0" xfId="15" applyNumberFormat="1" applyFont="1" applyAlignment="1">
      <alignment/>
    </xf>
    <xf numFmtId="164" fontId="51" fillId="0" borderId="0" xfId="15" applyNumberFormat="1" applyFont="1" applyAlignment="1">
      <alignment/>
    </xf>
    <xf numFmtId="44" fontId="40" fillId="0" borderId="0" xfId="17" applyFont="1" applyAlignment="1">
      <alignment/>
    </xf>
    <xf numFmtId="164" fontId="0" fillId="0" borderId="0" xfId="15" applyNumberFormat="1" applyAlignment="1">
      <alignment horizontal="left"/>
    </xf>
    <xf numFmtId="164" fontId="0" fillId="0" borderId="0" xfId="15" applyNumberFormat="1" applyFont="1" applyAlignment="1">
      <alignment/>
    </xf>
    <xf numFmtId="0" fontId="42" fillId="0" borderId="0" xfId="0" applyFont="1" applyAlignment="1">
      <alignment horizontal="left"/>
    </xf>
    <xf numFmtId="0" fontId="48" fillId="0" borderId="0" xfId="0" applyFont="1" applyAlignment="1">
      <alignment horizontal="left"/>
    </xf>
    <xf numFmtId="0" fontId="48" fillId="0" borderId="0" xfId="0" applyFont="1" applyAlignment="1">
      <alignment/>
    </xf>
    <xf numFmtId="164" fontId="52" fillId="0" borderId="0" xfId="15" applyNumberFormat="1" applyFont="1" applyAlignment="1">
      <alignment/>
    </xf>
    <xf numFmtId="0" fontId="40" fillId="0" borderId="0" xfId="0" applyFont="1" applyAlignment="1">
      <alignment horizontal="left"/>
    </xf>
    <xf numFmtId="164" fontId="40" fillId="0" borderId="2" xfId="15" applyNumberFormat="1" applyFont="1" applyBorder="1" applyAlignment="1">
      <alignment/>
    </xf>
    <xf numFmtId="164" fontId="38" fillId="0" borderId="20" xfId="15" applyNumberFormat="1" applyFont="1" applyBorder="1" applyAlignment="1">
      <alignment/>
    </xf>
    <xf numFmtId="164" fontId="47" fillId="0" borderId="20" xfId="15" applyNumberFormat="1" applyFont="1" applyBorder="1" applyAlignment="1">
      <alignment/>
    </xf>
    <xf numFmtId="164" fontId="40" fillId="0" borderId="21" xfId="0" applyNumberFormat="1" applyFont="1" applyBorder="1" applyAlignment="1">
      <alignment/>
    </xf>
    <xf numFmtId="164" fontId="40" fillId="0" borderId="22" xfId="15" applyNumberFormat="1" applyFont="1" applyBorder="1" applyAlignment="1">
      <alignment/>
    </xf>
    <xf numFmtId="164" fontId="51" fillId="0" borderId="0" xfId="15" applyNumberFormat="1" applyFont="1" applyBorder="1" applyAlignment="1">
      <alignment/>
    </xf>
    <xf numFmtId="164" fontId="40" fillId="0" borderId="0" xfId="15" applyNumberFormat="1" applyFont="1" applyAlignment="1">
      <alignment horizontal="left"/>
    </xf>
    <xf numFmtId="164" fontId="0" fillId="0" borderId="0" xfId="15" applyNumberFormat="1" applyBorder="1" applyAlignment="1">
      <alignment/>
    </xf>
    <xf numFmtId="165" fontId="38" fillId="0" borderId="17" xfId="17" applyNumberFormat="1" applyFont="1" applyBorder="1" applyAlignment="1">
      <alignment/>
    </xf>
    <xf numFmtId="165" fontId="47" fillId="0" borderId="17" xfId="17" applyNumberFormat="1" applyFont="1" applyBorder="1" applyAlignment="1">
      <alignment/>
    </xf>
    <xf numFmtId="164" fontId="40" fillId="0" borderId="23" xfId="15" applyNumberFormat="1" applyFont="1" applyBorder="1" applyAlignment="1">
      <alignment/>
    </xf>
    <xf numFmtId="164" fontId="53" fillId="0" borderId="19" xfId="15" applyNumberFormat="1" applyFont="1" applyBorder="1" applyAlignment="1">
      <alignment/>
    </xf>
    <xf numFmtId="164" fontId="49" fillId="0" borderId="0" xfId="15" applyNumberFormat="1" applyFont="1" applyBorder="1" applyAlignment="1">
      <alignment/>
    </xf>
    <xf numFmtId="164" fontId="54" fillId="0" borderId="0" xfId="15" applyNumberFormat="1" applyFont="1" applyBorder="1" applyAlignment="1">
      <alignment/>
    </xf>
    <xf numFmtId="164" fontId="54" fillId="0" borderId="19" xfId="15" applyNumberFormat="1" applyFont="1" applyBorder="1" applyAlignment="1">
      <alignment/>
    </xf>
    <xf numFmtId="164" fontId="54" fillId="0" borderId="0" xfId="15" applyNumberFormat="1" applyFont="1" applyAlignment="1">
      <alignment/>
    </xf>
    <xf numFmtId="164" fontId="38" fillId="0" borderId="24" xfId="15" applyNumberFormat="1" applyFont="1" applyBorder="1" applyAlignment="1">
      <alignment/>
    </xf>
    <xf numFmtId="164" fontId="39" fillId="0" borderId="25" xfId="15" applyNumberFormat="1" applyFont="1" applyBorder="1" applyAlignment="1">
      <alignment/>
    </xf>
    <xf numFmtId="164" fontId="40" fillId="0" borderId="26" xfId="15" applyNumberFormat="1" applyFont="1" applyBorder="1" applyAlignment="1">
      <alignment/>
    </xf>
    <xf numFmtId="164" fontId="51" fillId="0" borderId="3" xfId="15" applyNumberFormat="1" applyFont="1" applyBorder="1" applyAlignment="1">
      <alignment/>
    </xf>
    <xf numFmtId="6" fontId="0" fillId="0" borderId="0" xfId="0" applyNumberFormat="1" applyAlignment="1">
      <alignment/>
    </xf>
    <xf numFmtId="164" fontId="38" fillId="0" borderId="0" xfId="0" applyNumberFormat="1" applyFont="1" applyAlignment="1">
      <alignment/>
    </xf>
    <xf numFmtId="164" fontId="39" fillId="0" borderId="0" xfId="0" applyNumberFormat="1" applyFont="1" applyAlignment="1">
      <alignment/>
    </xf>
    <xf numFmtId="164" fontId="40" fillId="0" borderId="0" xfId="0" applyNumberFormat="1" applyFont="1" applyBorder="1" applyAlignment="1">
      <alignment/>
    </xf>
    <xf numFmtId="0" fontId="51" fillId="0" borderId="0" xfId="0" applyFont="1" applyAlignment="1" quotePrefix="1">
      <alignment horizontal="center"/>
    </xf>
    <xf numFmtId="0" fontId="41" fillId="0" borderId="0" xfId="0" applyFont="1" applyAlignment="1">
      <alignment/>
    </xf>
    <xf numFmtId="6" fontId="38" fillId="0" borderId="0" xfId="0" applyNumberFormat="1" applyFont="1" applyAlignment="1">
      <alignment/>
    </xf>
    <xf numFmtId="6" fontId="39" fillId="0" borderId="0" xfId="0" applyNumberFormat="1" applyFont="1" applyAlignment="1">
      <alignment/>
    </xf>
    <xf numFmtId="164" fontId="40" fillId="0" borderId="0" xfId="0" applyNumberFormat="1" applyFont="1" applyAlignment="1">
      <alignment/>
    </xf>
    <xf numFmtId="6" fontId="41" fillId="0" borderId="0" xfId="0" applyNumberFormat="1" applyFont="1" applyAlignment="1">
      <alignment/>
    </xf>
    <xf numFmtId="164" fontId="41" fillId="0" borderId="0" xfId="0" applyNumberFormat="1" applyFont="1" applyAlignment="1">
      <alignment/>
    </xf>
    <xf numFmtId="38" fontId="41" fillId="0" borderId="0" xfId="0" applyNumberFormat="1" applyFont="1" applyAlignment="1">
      <alignment/>
    </xf>
    <xf numFmtId="6" fontId="40" fillId="0" borderId="0" xfId="0" applyNumberFormat="1" applyFont="1" applyAlignment="1">
      <alignment/>
    </xf>
    <xf numFmtId="0" fontId="41" fillId="0" borderId="0" xfId="0" applyFont="1" applyAlignment="1">
      <alignment horizontal="center"/>
    </xf>
    <xf numFmtId="0" fontId="38" fillId="0" borderId="0" xfId="0" applyFont="1" applyAlignment="1">
      <alignment/>
    </xf>
    <xf numFmtId="0" fontId="39" fillId="0" borderId="0" xfId="0" applyFont="1" applyAlignment="1">
      <alignment/>
    </xf>
    <xf numFmtId="165" fontId="38" fillId="0" borderId="24" xfId="17" applyNumberFormat="1" applyFont="1" applyBorder="1" applyAlignment="1">
      <alignment/>
    </xf>
    <xf numFmtId="165" fontId="47" fillId="0" borderId="24" xfId="17" applyNumberFormat="1" applyFont="1" applyBorder="1" applyAlignment="1">
      <alignment/>
    </xf>
    <xf numFmtId="165" fontId="40" fillId="0" borderId="26" xfId="17" applyNumberFormat="1" applyFont="1" applyBorder="1" applyAlignment="1">
      <alignment/>
    </xf>
    <xf numFmtId="5" fontId="51" fillId="0" borderId="3" xfId="15" applyNumberFormat="1" applyFont="1" applyBorder="1" applyAlignment="1">
      <alignment/>
    </xf>
    <xf numFmtId="0" fontId="38" fillId="0" borderId="0" xfId="15" applyNumberFormat="1" applyFont="1" applyAlignment="1">
      <alignment horizontal="left"/>
    </xf>
    <xf numFmtId="164" fontId="40" fillId="0" borderId="18" xfId="15" applyNumberFormat="1" applyFont="1" applyBorder="1" applyAlignment="1">
      <alignment/>
    </xf>
    <xf numFmtId="43" fontId="9" fillId="2" borderId="0" xfId="0" applyNumberFormat="1" applyFont="1" applyFill="1" applyBorder="1" applyAlignment="1" applyProtection="1">
      <alignment horizontal="left"/>
      <protection locked="0"/>
    </xf>
    <xf numFmtId="43" fontId="12" fillId="2" borderId="0" xfId="0" applyNumberFormat="1" applyFont="1" applyFill="1" applyBorder="1" applyAlignment="1" applyProtection="1">
      <alignment/>
      <protection locked="0"/>
    </xf>
    <xf numFmtId="43" fontId="9" fillId="2" borderId="0" xfId="0" applyNumberFormat="1" applyFont="1" applyFill="1" applyBorder="1" applyAlignment="1" applyProtection="1">
      <alignment horizontal="center"/>
      <protection locked="0"/>
    </xf>
    <xf numFmtId="43" fontId="21" fillId="2" borderId="0" xfId="0" applyNumberFormat="1" applyFont="1" applyFill="1" applyBorder="1" applyAlignment="1" applyProtection="1">
      <alignment/>
      <protection locked="0"/>
    </xf>
    <xf numFmtId="43" fontId="21" fillId="0" borderId="0" xfId="0" applyNumberFormat="1" applyFont="1" applyBorder="1" applyAlignment="1">
      <alignment/>
    </xf>
    <xf numFmtId="164" fontId="14" fillId="0" borderId="12" xfId="15" applyNumberFormat="1" applyFont="1" applyBorder="1" applyAlignment="1">
      <alignment/>
    </xf>
    <xf numFmtId="164" fontId="9" fillId="5" borderId="11" xfId="15" applyNumberFormat="1" applyFont="1" applyBorder="1" applyAlignment="1">
      <alignment horizontal="right" wrapText="1"/>
    </xf>
    <xf numFmtId="164" fontId="21" fillId="0" borderId="11" xfId="15" applyNumberFormat="1" applyFont="1" applyBorder="1" applyAlignment="1">
      <alignment/>
    </xf>
    <xf numFmtId="164" fontId="12" fillId="0" borderId="7" xfId="15" applyNumberFormat="1" applyFont="1" applyBorder="1" applyAlignment="1">
      <alignment/>
    </xf>
    <xf numFmtId="164" fontId="12" fillId="0" borderId="0" xfId="15" applyNumberFormat="1" applyFont="1" applyFill="1" applyAlignment="1">
      <alignment/>
    </xf>
    <xf numFmtId="5" fontId="30" fillId="0" borderId="0" xfId="0" applyNumberFormat="1" applyFont="1" applyBorder="1" applyAlignment="1">
      <alignment horizontal="centerContinuous"/>
    </xf>
    <xf numFmtId="5" fontId="30" fillId="0" borderId="0" xfId="15" applyNumberFormat="1" applyFont="1" applyFill="1" applyAlignment="1">
      <alignment horizontal="centerContinuous"/>
    </xf>
    <xf numFmtId="5" fontId="30" fillId="0" borderId="0" xfId="15" applyNumberFormat="1" applyFont="1" applyBorder="1" applyAlignment="1">
      <alignment horizontal="centerContinuous"/>
    </xf>
    <xf numFmtId="5" fontId="32" fillId="0" borderId="0" xfId="15" applyNumberFormat="1" applyFont="1" applyBorder="1" applyAlignment="1">
      <alignment horizontal="centerContinuous"/>
    </xf>
    <xf numFmtId="5" fontId="4" fillId="0" borderId="0" xfId="0" applyNumberFormat="1" applyFont="1" applyFill="1" applyAlignment="1">
      <alignment horizontal="centerContinuous"/>
    </xf>
    <xf numFmtId="5" fontId="4" fillId="0" borderId="0" xfId="15" applyNumberFormat="1" applyFont="1" applyFill="1" applyAlignment="1">
      <alignment horizontal="centerContinuous"/>
    </xf>
    <xf numFmtId="5" fontId="5" fillId="0" borderId="0" xfId="15" applyNumberFormat="1" applyFont="1" applyAlignment="1">
      <alignment horizontal="centerContinuous"/>
    </xf>
    <xf numFmtId="5" fontId="12" fillId="0" borderId="0" xfId="15" applyNumberFormat="1" applyFont="1" applyBorder="1" applyAlignment="1">
      <alignment horizontal="centerContinuous"/>
    </xf>
    <xf numFmtId="5" fontId="9" fillId="0" borderId="0" xfId="15" applyNumberFormat="1" applyFont="1" applyFill="1" applyAlignment="1">
      <alignment horizontal="centerContinuous"/>
    </xf>
    <xf numFmtId="5" fontId="12" fillId="0" borderId="0" xfId="0" applyNumberFormat="1" applyFont="1" applyBorder="1" applyAlignment="1">
      <alignment horizontal="centerContinuous"/>
    </xf>
    <xf numFmtId="5" fontId="6" fillId="0" borderId="0" xfId="15" applyNumberFormat="1" applyFont="1" applyAlignment="1">
      <alignment/>
    </xf>
    <xf numFmtId="5" fontId="13" fillId="3" borderId="0" xfId="15" applyNumberFormat="1" applyFont="1" applyFill="1" applyAlignment="1">
      <alignment horizontal="centerContinuous" wrapText="1"/>
    </xf>
    <xf numFmtId="5" fontId="13" fillId="3" borderId="0" xfId="15" applyNumberFormat="1" applyFont="1" applyFill="1" applyBorder="1" applyAlignment="1">
      <alignment horizontal="centerContinuous" wrapText="1"/>
    </xf>
    <xf numFmtId="5" fontId="12" fillId="0" borderId="0" xfId="15" applyNumberFormat="1" applyFont="1" applyFill="1" applyAlignment="1">
      <alignment/>
    </xf>
    <xf numFmtId="5" fontId="12" fillId="0" borderId="0" xfId="15" applyNumberFormat="1" applyFont="1" applyBorder="1" applyAlignment="1">
      <alignment/>
    </xf>
    <xf numFmtId="5" fontId="12" fillId="0" borderId="0" xfId="15" applyNumberFormat="1" applyFont="1" applyBorder="1" applyAlignment="1">
      <alignment horizontal="left" wrapText="1"/>
    </xf>
    <xf numFmtId="5" fontId="21" fillId="0" borderId="0" xfId="15" applyNumberFormat="1" applyFont="1" applyFill="1" applyAlignment="1">
      <alignment horizontal="right"/>
    </xf>
    <xf numFmtId="5" fontId="18" fillId="0" borderId="0" xfId="15" applyNumberFormat="1" applyFont="1" applyBorder="1" applyAlignment="1">
      <alignment horizontal="right"/>
    </xf>
    <xf numFmtId="43" fontId="12" fillId="0" borderId="0" xfId="15" applyNumberFormat="1" applyFont="1" applyBorder="1" applyAlignment="1">
      <alignment horizontal="right"/>
    </xf>
    <xf numFmtId="41" fontId="12" fillId="0" borderId="0" xfId="15" applyNumberFormat="1" applyFont="1" applyBorder="1" applyAlignment="1">
      <alignment horizontal="right"/>
    </xf>
    <xf numFmtId="37" fontId="9" fillId="0" borderId="3" xfId="15" applyNumberFormat="1" applyFont="1" applyBorder="1" applyAlignment="1">
      <alignment horizontal="right"/>
    </xf>
    <xf numFmtId="43" fontId="5" fillId="0" borderId="0" xfId="0" applyNumberFormat="1" applyFont="1" applyBorder="1" applyAlignment="1">
      <alignment/>
    </xf>
    <xf numFmtId="5" fontId="32" fillId="0" borderId="0" xfId="15" applyNumberFormat="1" applyFont="1" applyAlignment="1">
      <alignment horizontal="centerContinuous"/>
    </xf>
    <xf numFmtId="5" fontId="12" fillId="0" borderId="0" xfId="15" applyNumberFormat="1" applyFont="1" applyAlignment="1">
      <alignment horizontal="centerContinuous"/>
    </xf>
    <xf numFmtId="5" fontId="6" fillId="0" borderId="0" xfId="0" applyNumberFormat="1" applyFont="1" applyAlignment="1">
      <alignment/>
    </xf>
    <xf numFmtId="5" fontId="12" fillId="0" borderId="0" xfId="0" applyNumberFormat="1" applyFont="1" applyFill="1" applyAlignment="1">
      <alignment horizontal="right"/>
    </xf>
    <xf numFmtId="5" fontId="30" fillId="0" borderId="0" xfId="0" applyNumberFormat="1" applyFont="1" applyFill="1" applyAlignment="1">
      <alignment horizontal="centerContinuous"/>
    </xf>
    <xf numFmtId="5" fontId="32" fillId="0" borderId="0" xfId="0" applyNumberFormat="1" applyFont="1" applyAlignment="1">
      <alignment horizontal="centerContinuous"/>
    </xf>
    <xf numFmtId="5" fontId="5" fillId="0" borderId="0" xfId="0" applyNumberFormat="1" applyFont="1" applyAlignment="1">
      <alignment horizontal="centerContinuous"/>
    </xf>
    <xf numFmtId="5" fontId="12" fillId="0" borderId="0" xfId="0" applyNumberFormat="1" applyFont="1" applyAlignment="1">
      <alignment horizontal="centerContinuous"/>
    </xf>
    <xf numFmtId="5" fontId="9" fillId="0" borderId="0" xfId="0" applyNumberFormat="1" applyFont="1" applyFill="1" applyAlignment="1">
      <alignment horizontal="centerContinuous"/>
    </xf>
    <xf numFmtId="5" fontId="13" fillId="3" borderId="0" xfId="0" applyNumberFormat="1" applyFont="1" applyFill="1" applyAlignment="1">
      <alignment horizontal="centerContinuous" wrapText="1"/>
    </xf>
    <xf numFmtId="5" fontId="13" fillId="3" borderId="0" xfId="0" applyNumberFormat="1" applyFont="1" applyFill="1" applyAlignment="1">
      <alignment horizontal="center" wrapText="1"/>
    </xf>
    <xf numFmtId="5" fontId="12" fillId="0" borderId="0" xfId="0" applyNumberFormat="1" applyFont="1" applyFill="1" applyAlignment="1">
      <alignment/>
    </xf>
    <xf numFmtId="5" fontId="21" fillId="0" borderId="0" xfId="0" applyNumberFormat="1" applyFont="1" applyFill="1" applyAlignment="1">
      <alignment horizontal="right"/>
    </xf>
    <xf numFmtId="164" fontId="9" fillId="0" borderId="0" xfId="15" applyNumberFormat="1" applyFont="1" applyBorder="1" applyAlignment="1">
      <alignment/>
    </xf>
    <xf numFmtId="164" fontId="13" fillId="3" borderId="0" xfId="0" applyNumberFormat="1" applyFont="1" applyFill="1" applyAlignment="1">
      <alignment horizontal="center" wrapText="1"/>
    </xf>
    <xf numFmtId="164" fontId="21" fillId="0" borderId="0" xfId="0" applyNumberFormat="1" applyFont="1" applyBorder="1" applyAlignment="1">
      <alignment/>
    </xf>
    <xf numFmtId="164" fontId="21" fillId="0" borderId="0" xfId="0" applyNumberFormat="1" applyFont="1" applyBorder="1" applyAlignment="1" quotePrefix="1">
      <alignment/>
    </xf>
    <xf numFmtId="5" fontId="7" fillId="0" borderId="0" xfId="0" applyNumberFormat="1" applyFont="1" applyBorder="1" applyAlignment="1">
      <alignment horizontal="centerContinuous"/>
    </xf>
    <xf numFmtId="5" fontId="7" fillId="0" borderId="0" xfId="15" applyNumberFormat="1" applyFont="1" applyFill="1" applyAlignment="1">
      <alignment horizontal="centerContinuous"/>
    </xf>
    <xf numFmtId="5" fontId="7" fillId="0" borderId="0" xfId="15" applyNumberFormat="1" applyFont="1" applyBorder="1" applyAlignment="1">
      <alignment horizontal="centerContinuous"/>
    </xf>
    <xf numFmtId="5" fontId="6" fillId="0" borderId="0" xfId="15" applyNumberFormat="1" applyFont="1" applyBorder="1" applyAlignment="1">
      <alignment horizontal="centerContinuous"/>
    </xf>
    <xf numFmtId="5" fontId="12" fillId="0" borderId="0" xfId="15" applyNumberFormat="1" applyFont="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9" fillId="2" borderId="0" xfId="15" applyNumberFormat="1" applyFont="1" applyFill="1" applyBorder="1" applyAlignment="1" applyProtection="1">
      <alignment horizontal="left" indent="1"/>
      <protection locked="0"/>
    </xf>
    <xf numFmtId="43" fontId="32" fillId="0" borderId="0" xfId="0" applyNumberFormat="1" applyFont="1" applyBorder="1" applyAlignment="1">
      <alignment/>
    </xf>
    <xf numFmtId="0" fontId="7" fillId="0" borderId="0" xfId="0" applyFont="1" applyFill="1" applyAlignment="1">
      <alignment horizontal="centerContinuous"/>
    </xf>
    <xf numFmtId="5" fontId="7" fillId="0" borderId="0" xfId="0" applyNumberFormat="1" applyFont="1" applyFill="1" applyAlignment="1">
      <alignment horizontal="centerContinuous"/>
    </xf>
    <xf numFmtId="5" fontId="6" fillId="0" borderId="0" xfId="0" applyNumberFormat="1" applyFont="1" applyAlignment="1">
      <alignment horizontal="centerContinuous"/>
    </xf>
    <xf numFmtId="38" fontId="12" fillId="0" borderId="0" xfId="0" applyNumberFormat="1" applyFont="1" applyAlignment="1">
      <alignment horizontal="right"/>
    </xf>
    <xf numFmtId="5" fontId="12" fillId="0" borderId="0" xfId="0" applyNumberFormat="1" applyFont="1" applyAlignment="1">
      <alignment/>
    </xf>
    <xf numFmtId="37" fontId="12" fillId="0" borderId="0" xfId="0" applyNumberFormat="1" applyFont="1" applyAlignment="1">
      <alignment horizontal="right"/>
    </xf>
    <xf numFmtId="37" fontId="21" fillId="0" borderId="0" xfId="0" applyNumberFormat="1" applyFont="1" applyAlignment="1">
      <alignment horizontal="right"/>
    </xf>
    <xf numFmtId="5" fontId="6" fillId="0" borderId="0" xfId="15" applyNumberFormat="1" applyFont="1" applyAlignment="1">
      <alignment horizontal="centerContinuous"/>
    </xf>
    <xf numFmtId="38" fontId="21" fillId="0" borderId="0" xfId="0" applyNumberFormat="1" applyFont="1" applyAlignment="1">
      <alignment horizontal="right"/>
    </xf>
    <xf numFmtId="38" fontId="21" fillId="0" borderId="0" xfId="0" applyNumberFormat="1" applyFont="1" applyAlignment="1">
      <alignment/>
    </xf>
    <xf numFmtId="0" fontId="12" fillId="0" borderId="0" xfId="0" applyFont="1" applyBorder="1" applyAlignment="1">
      <alignment wrapText="1"/>
    </xf>
    <xf numFmtId="0" fontId="6" fillId="0" borderId="0" xfId="0" applyFont="1" applyFill="1" applyBorder="1" applyAlignment="1">
      <alignment/>
    </xf>
    <xf numFmtId="0" fontId="9" fillId="0" borderId="0" xfId="0" applyFont="1" applyFill="1" applyBorder="1" applyAlignment="1">
      <alignment horizontal="left" wrapText="1"/>
    </xf>
    <xf numFmtId="0" fontId="14" fillId="0" borderId="0" xfId="0" applyFont="1" applyFill="1" applyBorder="1" applyAlignment="1">
      <alignment horizontal="left" wrapText="1"/>
    </xf>
    <xf numFmtId="164" fontId="25" fillId="6" borderId="0" xfId="15" applyNumberFormat="1" applyFont="1" applyFill="1" applyBorder="1" applyAlignment="1">
      <alignment vertical="center" wrapText="1"/>
    </xf>
    <xf numFmtId="164" fontId="25" fillId="6" borderId="0" xfId="15" applyNumberFormat="1"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xf>
    <xf numFmtId="164" fontId="12" fillId="0" borderId="0" xfId="15" applyNumberFormat="1" applyFont="1" applyFill="1" applyBorder="1" applyAlignment="1">
      <alignment/>
    </xf>
    <xf numFmtId="0" fontId="12" fillId="0" borderId="0" xfId="0" applyFont="1" applyFill="1" applyBorder="1" applyAlignment="1">
      <alignment/>
    </xf>
    <xf numFmtId="164" fontId="12" fillId="0" borderId="2" xfId="15" applyNumberFormat="1" applyFont="1" applyFill="1" applyBorder="1" applyAlignment="1">
      <alignment/>
    </xf>
    <xf numFmtId="164" fontId="14" fillId="0" borderId="0" xfId="15" applyNumberFormat="1" applyFont="1" applyFill="1" applyBorder="1" applyAlignment="1">
      <alignment wrapText="1"/>
    </xf>
    <xf numFmtId="0" fontId="12" fillId="0" borderId="0" xfId="0" applyFont="1" applyFill="1" applyBorder="1" applyAlignment="1">
      <alignment horizontal="left"/>
    </xf>
    <xf numFmtId="164" fontId="20" fillId="0" borderId="0" xfId="15" applyNumberFormat="1" applyFont="1" applyFill="1" applyBorder="1" applyAlignment="1">
      <alignment/>
    </xf>
    <xf numFmtId="0" fontId="9" fillId="0" borderId="0" xfId="0" applyFont="1" applyFill="1" applyBorder="1" applyAlignment="1">
      <alignment/>
    </xf>
    <xf numFmtId="164" fontId="9" fillId="0" borderId="2" xfId="15" applyNumberFormat="1" applyFont="1" applyFill="1" applyBorder="1" applyAlignment="1">
      <alignment/>
    </xf>
    <xf numFmtId="164" fontId="9" fillId="0" borderId="0" xfId="15" applyNumberFormat="1" applyFont="1" applyFill="1" applyBorder="1" applyAlignment="1">
      <alignment/>
    </xf>
    <xf numFmtId="0" fontId="14" fillId="0" borderId="0" xfId="0" applyFont="1" applyFill="1" applyBorder="1" applyAlignment="1">
      <alignment/>
    </xf>
    <xf numFmtId="164" fontId="21" fillId="0" borderId="0" xfId="15" applyNumberFormat="1" applyFont="1" applyFill="1" applyBorder="1" applyAlignment="1">
      <alignment/>
    </xf>
    <xf numFmtId="164" fontId="12" fillId="0" borderId="0" xfId="15" applyNumberFormat="1" applyFont="1" applyFill="1" applyBorder="1" applyAlignment="1">
      <alignment/>
    </xf>
    <xf numFmtId="8" fontId="9" fillId="0" borderId="0" xfId="0" applyNumberFormat="1" applyFont="1" applyFill="1" applyBorder="1" applyAlignment="1">
      <alignment/>
    </xf>
    <xf numFmtId="164" fontId="9" fillId="0" borderId="3" xfId="15" applyNumberFormat="1" applyFont="1" applyFill="1" applyBorder="1" applyAlignment="1">
      <alignment/>
    </xf>
    <xf numFmtId="8" fontId="12" fillId="0" borderId="0" xfId="0" applyNumberFormat="1" applyFont="1" applyFill="1" applyBorder="1" applyAlignment="1">
      <alignment/>
    </xf>
    <xf numFmtId="0" fontId="14" fillId="0" borderId="0" xfId="0" applyFont="1" applyFill="1" applyBorder="1" applyAlignment="1" quotePrefix="1">
      <alignment horizontal="right" wrapText="1"/>
    </xf>
    <xf numFmtId="164" fontId="12" fillId="0" borderId="0" xfId="0" applyNumberFormat="1" applyFont="1" applyFill="1" applyBorder="1" applyAlignment="1">
      <alignment/>
    </xf>
    <xf numFmtId="0" fontId="7" fillId="0" borderId="0" xfId="0" applyFont="1" applyAlignment="1">
      <alignment/>
    </xf>
    <xf numFmtId="5" fontId="13" fillId="3" borderId="0" xfId="15" applyNumberFormat="1" applyFont="1" applyFill="1" applyBorder="1" applyAlignment="1">
      <alignment horizontal="center" wrapText="1"/>
    </xf>
    <xf numFmtId="38" fontId="12" fillId="0" borderId="2" xfId="15" applyNumberFormat="1" applyFont="1" applyBorder="1" applyAlignment="1">
      <alignment horizontal="right"/>
    </xf>
    <xf numFmtId="37" fontId="12" fillId="0" borderId="2" xfId="15" applyNumberFormat="1" applyFont="1" applyBorder="1" applyAlignment="1">
      <alignment horizontal="right"/>
    </xf>
    <xf numFmtId="43" fontId="12" fillId="0" borderId="2" xfId="15" applyNumberFormat="1" applyFont="1" applyBorder="1" applyAlignment="1">
      <alignment horizontal="right"/>
    </xf>
    <xf numFmtId="6" fontId="12" fillId="0" borderId="0" xfId="17" applyNumberFormat="1" applyFont="1" applyBorder="1" applyAlignment="1">
      <alignment horizontal="right"/>
    </xf>
    <xf numFmtId="6" fontId="12" fillId="0" borderId="0" xfId="15" applyNumberFormat="1" applyFont="1" applyAlignment="1">
      <alignment horizontal="right"/>
    </xf>
    <xf numFmtId="5" fontId="12" fillId="0" borderId="0" xfId="15" applyNumberFormat="1" applyFont="1" applyAlignment="1">
      <alignment horizontal="right"/>
    </xf>
    <xf numFmtId="6" fontId="9" fillId="0" borderId="3" xfId="15" applyNumberFormat="1" applyFont="1" applyBorder="1" applyAlignment="1">
      <alignment/>
    </xf>
    <xf numFmtId="5" fontId="9" fillId="0" borderId="3" xfId="15" applyNumberFormat="1" applyFont="1" applyBorder="1" applyAlignment="1">
      <alignment/>
    </xf>
    <xf numFmtId="5" fontId="9" fillId="0" borderId="3" xfId="17" applyNumberFormat="1" applyFont="1" applyBorder="1" applyAlignment="1">
      <alignment horizontal="right"/>
    </xf>
    <xf numFmtId="43" fontId="12" fillId="0" borderId="0" xfId="15" applyNumberFormat="1" applyFont="1" applyFill="1" applyAlignment="1">
      <alignment horizontal="right"/>
    </xf>
    <xf numFmtId="41" fontId="12" fillId="0" borderId="0" xfId="15" applyNumberFormat="1" applyFont="1" applyFill="1" applyAlignment="1">
      <alignment horizontal="right"/>
    </xf>
    <xf numFmtId="5" fontId="12" fillId="0" borderId="0" xfId="17" applyNumberFormat="1" applyFont="1" applyFill="1" applyBorder="1" applyAlignment="1">
      <alignment horizontal="right"/>
    </xf>
    <xf numFmtId="37" fontId="12" fillId="0" borderId="2" xfId="0" applyNumberFormat="1" applyFont="1" applyFill="1" applyBorder="1" applyAlignment="1">
      <alignment horizontal="right"/>
    </xf>
    <xf numFmtId="37" fontId="12" fillId="0" borderId="2" xfId="15" applyNumberFormat="1" applyFont="1" applyFill="1" applyBorder="1" applyAlignment="1">
      <alignment horizontal="right"/>
    </xf>
    <xf numFmtId="43" fontId="12" fillId="0" borderId="2" xfId="15" applyNumberFormat="1" applyFont="1" applyFill="1" applyBorder="1" applyAlignment="1">
      <alignment horizontal="right"/>
    </xf>
    <xf numFmtId="5" fontId="9" fillId="0" borderId="3" xfId="0" applyNumberFormat="1" applyFont="1" applyBorder="1" applyAlignment="1">
      <alignment horizontal="right"/>
    </xf>
    <xf numFmtId="38" fontId="12" fillId="0" borderId="0" xfId="15" applyNumberFormat="1" applyFont="1" applyFill="1" applyBorder="1" applyAlignment="1">
      <alignment horizontal="right"/>
    </xf>
    <xf numFmtId="38" fontId="12" fillId="0" borderId="0" xfId="15" applyNumberFormat="1" applyFont="1" applyFill="1" applyAlignment="1">
      <alignment horizontal="right"/>
    </xf>
    <xf numFmtId="43" fontId="9" fillId="0" borderId="3" xfId="15" applyNumberFormat="1" applyFont="1" applyFill="1" applyBorder="1" applyAlignment="1">
      <alignment horizontal="right"/>
    </xf>
    <xf numFmtId="5" fontId="9" fillId="0" borderId="0" xfId="15" applyNumberFormat="1" applyFont="1" applyFill="1" applyBorder="1" applyAlignment="1">
      <alignment horizontal="right"/>
    </xf>
    <xf numFmtId="5" fontId="9" fillId="5" borderId="13" xfId="15" applyNumberFormat="1" applyFont="1" applyBorder="1" applyAlignment="1">
      <alignment horizontal="right"/>
    </xf>
    <xf numFmtId="5" fontId="9" fillId="5" borderId="13" xfId="15" applyNumberFormat="1" applyFont="1" applyBorder="1" applyAlignment="1">
      <alignment horizontal="right" wrapText="1"/>
    </xf>
    <xf numFmtId="168" fontId="9" fillId="5" borderId="27" xfId="15" applyNumberFormat="1" applyFont="1" applyBorder="1" applyAlignment="1">
      <alignment horizontal="right"/>
    </xf>
    <xf numFmtId="164" fontId="55" fillId="3" borderId="0" xfId="15" applyNumberFormat="1" applyFont="1" applyFill="1" applyBorder="1" applyAlignment="1">
      <alignment horizontal="center" wrapText="1"/>
    </xf>
    <xf numFmtId="5" fontId="12" fillId="0" borderId="0" xfId="15" applyNumberFormat="1" applyFont="1" applyFill="1" applyBorder="1" applyAlignment="1">
      <alignment/>
    </xf>
    <xf numFmtId="5" fontId="9" fillId="0" borderId="3" xfId="15" applyNumberFormat="1" applyFont="1" applyFill="1" applyBorder="1" applyAlignment="1">
      <alignment/>
    </xf>
    <xf numFmtId="5" fontId="9" fillId="0" borderId="11" xfId="15" applyNumberFormat="1" applyFont="1" applyBorder="1" applyAlignment="1">
      <alignment/>
    </xf>
    <xf numFmtId="5" fontId="9" fillId="0" borderId="28" xfId="15" applyNumberFormat="1" applyFont="1" applyBorder="1" applyAlignment="1">
      <alignment/>
    </xf>
    <xf numFmtId="5" fontId="12" fillId="0" borderId="1" xfId="15" applyNumberFormat="1" applyFont="1" applyFill="1" applyBorder="1" applyAlignment="1">
      <alignment horizontal="right"/>
    </xf>
    <xf numFmtId="5" fontId="9" fillId="0" borderId="29" xfId="15" applyNumberFormat="1" applyFont="1" applyFill="1" applyBorder="1" applyAlignment="1">
      <alignment horizontal="right"/>
    </xf>
    <xf numFmtId="6" fontId="9" fillId="0" borderId="3" xfId="17" applyNumberFormat="1" applyFont="1" applyFill="1" applyBorder="1" applyAlignment="1">
      <alignment horizontal="right"/>
    </xf>
    <xf numFmtId="5" fontId="13" fillId="3" borderId="0" xfId="15" applyNumberFormat="1" applyFont="1" applyFill="1" applyAlignment="1">
      <alignment horizontal="center" wrapText="1"/>
    </xf>
    <xf numFmtId="38" fontId="9" fillId="0" borderId="0" xfId="0" applyNumberFormat="1" applyFont="1" applyBorder="1" applyAlignment="1">
      <alignment horizontal="center" wrapText="1"/>
    </xf>
    <xf numFmtId="0" fontId="35" fillId="0" borderId="0" xfId="0" applyFont="1" applyFill="1" applyAlignment="1">
      <alignment horizontal="left"/>
    </xf>
    <xf numFmtId="168" fontId="9" fillId="5" borderId="13" xfId="15" applyNumberFormat="1" applyFont="1" applyBorder="1" applyAlignment="1">
      <alignment horizontal="right"/>
    </xf>
    <xf numFmtId="168" fontId="12" fillId="0" borderId="0" xfId="0" applyNumberFormat="1" applyFont="1" applyBorder="1" applyAlignment="1">
      <alignment/>
    </xf>
    <xf numFmtId="0" fontId="12" fillId="0" borderId="5" xfId="0" applyFont="1" applyBorder="1" applyAlignment="1">
      <alignment/>
    </xf>
    <xf numFmtId="0" fontId="12" fillId="0" borderId="11" xfId="0" applyFont="1" applyBorder="1" applyAlignment="1">
      <alignment/>
    </xf>
    <xf numFmtId="43" fontId="9" fillId="0" borderId="0" xfId="15" applyNumberFormat="1" applyFont="1" applyFill="1" applyBorder="1" applyAlignment="1">
      <alignment horizontal="right"/>
    </xf>
    <xf numFmtId="5" fontId="9" fillId="0" borderId="0" xfId="0" applyNumberFormat="1" applyFont="1" applyBorder="1" applyAlignment="1">
      <alignment horizontal="right"/>
    </xf>
    <xf numFmtId="38" fontId="9" fillId="0" borderId="3" xfId="0" applyNumberFormat="1" applyFont="1" applyBorder="1" applyAlignment="1">
      <alignment horizontal="right"/>
    </xf>
    <xf numFmtId="6" fontId="9" fillId="5" borderId="11" xfId="15" applyNumberFormat="1" applyFont="1" applyBorder="1" applyAlignment="1">
      <alignment horizontal="right"/>
    </xf>
    <xf numFmtId="6" fontId="9" fillId="5" borderId="27" xfId="15" applyNumberFormat="1" applyFont="1" applyBorder="1" applyAlignment="1">
      <alignment horizontal="right"/>
    </xf>
    <xf numFmtId="7" fontId="5" fillId="0" borderId="0" xfId="0" applyNumberFormat="1" applyFont="1" applyBorder="1" applyAlignment="1">
      <alignment/>
    </xf>
    <xf numFmtId="43" fontId="12" fillId="0" borderId="0" xfId="15" applyFont="1" applyBorder="1" applyAlignment="1">
      <alignment horizontal="right"/>
    </xf>
    <xf numFmtId="43" fontId="12" fillId="0" borderId="0" xfId="15" applyFont="1" applyFill="1" applyAlignment="1">
      <alignment horizontal="right"/>
    </xf>
    <xf numFmtId="43" fontId="7" fillId="0" borderId="0" xfId="0" applyNumberFormat="1" applyFont="1" applyBorder="1" applyAlignment="1">
      <alignment/>
    </xf>
    <xf numFmtId="0" fontId="4" fillId="0" borderId="0" xfId="0" applyFont="1" applyFill="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15" fontId="7" fillId="0" borderId="0" xfId="0" applyNumberFormat="1" applyFont="1" applyFill="1" applyAlignment="1" quotePrefix="1">
      <alignment horizontal="center"/>
    </xf>
    <xf numFmtId="0" fontId="4" fillId="0" borderId="0" xfId="0" applyFont="1" applyFill="1" applyBorder="1" applyAlignment="1">
      <alignment horizontal="center"/>
    </xf>
    <xf numFmtId="0" fontId="15" fillId="0" borderId="0" xfId="0" applyFont="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38" fontId="30"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15" fillId="0" borderId="6"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xf>
    <xf numFmtId="0" fontId="12" fillId="0" borderId="0" xfId="0" applyNumberFormat="1" applyFont="1" applyAlignment="1">
      <alignment horizontal="left" vertical="center" wrapText="1"/>
    </xf>
    <xf numFmtId="0" fontId="0" fillId="0" borderId="0" xfId="0" applyNumberFormat="1" applyAlignment="1">
      <alignment horizontal="left" vertical="center" wrapText="1"/>
    </xf>
    <xf numFmtId="0" fontId="56" fillId="0" borderId="0" xfId="0" applyFont="1" applyAlignment="1">
      <alignment horizontal="left" vertical="center" wrapText="1"/>
    </xf>
    <xf numFmtId="0" fontId="0" fillId="0" borderId="0" xfId="0" applyAlignment="1">
      <alignment horizontal="left" vertical="center" wrapText="1"/>
    </xf>
    <xf numFmtId="43" fontId="7" fillId="0" borderId="0" xfId="0" applyNumberFormat="1" applyFont="1" applyBorder="1" applyAlignment="1">
      <alignment horizontal="center"/>
    </xf>
    <xf numFmtId="0" fontId="30"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44" fontId="15" fillId="0" borderId="0" xfId="17"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2"/>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Dept\Financial%20Statements\2003\2Q03\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Dept\FINSTATE\2001\4q2001\CODIFI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ICKSP\EXCEL\2001\4q01\01Auditor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ICKSP\EXCEL\2001\4q01\04Q01FS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ATARA\EXCEL\Miscellaneous\3Q03%20FLUX%20ANALYS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6-30-03 (Pre)"/>
      <sheetName val="TB06-30-03(Final)"/>
      <sheetName val="(1)IBNR Cal-p13"/>
      <sheetName val="IBNR JE2"/>
      <sheetName val="(3)Cal. UPLR-p14"/>
      <sheetName val="ALAE &amp; ULAE JE3"/>
      <sheetName val="(2)Loss Exp Factor-p15"/>
      <sheetName val="(1)LEP-QTD-p16JE5"/>
      <sheetName val="(1)LEP-YTD-p16JE5 (2)"/>
      <sheetName val="(1)ULEP-YTD-p17"/>
      <sheetName val="UPR-JE1"/>
    </sheetNames>
    <sheetDataSet>
      <sheetData sheetId="0">
        <row r="928">
          <cell r="F928">
            <v>-3317.16</v>
          </cell>
        </row>
      </sheetData>
      <sheetData sheetId="1">
        <row r="16">
          <cell r="G16">
            <v>-1914907.0000000002</v>
          </cell>
        </row>
        <row r="23">
          <cell r="G23">
            <v>9730624.66</v>
          </cell>
        </row>
        <row r="24">
          <cell r="F24">
            <v>11315.82</v>
          </cell>
        </row>
        <row r="36">
          <cell r="G36">
            <v>2971.29</v>
          </cell>
        </row>
        <row r="41">
          <cell r="F41">
            <v>89129.38</v>
          </cell>
        </row>
        <row r="42">
          <cell r="F42">
            <v>-29878.02</v>
          </cell>
        </row>
        <row r="115">
          <cell r="G115">
            <v>-5697722.210000001</v>
          </cell>
        </row>
        <row r="179">
          <cell r="G179">
            <v>-474063.79</v>
          </cell>
        </row>
        <row r="181">
          <cell r="F181">
            <v>-22966</v>
          </cell>
        </row>
        <row r="185">
          <cell r="F185">
            <v>-4995.76</v>
          </cell>
        </row>
        <row r="186">
          <cell r="F186">
            <v>-28280.339999999997</v>
          </cell>
        </row>
        <row r="247">
          <cell r="G247">
            <v>-356948</v>
          </cell>
        </row>
        <row r="248">
          <cell r="F248">
            <v>-59861.75</v>
          </cell>
        </row>
        <row r="250">
          <cell r="F250">
            <v>-208689.78</v>
          </cell>
        </row>
        <row r="252">
          <cell r="F252">
            <v>112683.48</v>
          </cell>
        </row>
        <row r="258">
          <cell r="F258">
            <v>-65397.19</v>
          </cell>
        </row>
        <row r="259">
          <cell r="G259">
            <v>45615566.39</v>
          </cell>
        </row>
        <row r="297">
          <cell r="E297">
            <v>-5491248</v>
          </cell>
          <cell r="G297">
            <v>-10221860</v>
          </cell>
        </row>
        <row r="314">
          <cell r="G314">
            <v>1146561</v>
          </cell>
        </row>
        <row r="315">
          <cell r="E315">
            <v>-4659146</v>
          </cell>
          <cell r="G315">
            <v>-9075299</v>
          </cell>
        </row>
        <row r="332">
          <cell r="E332">
            <v>-29841.62</v>
          </cell>
          <cell r="G332">
            <v>-61536.52</v>
          </cell>
        </row>
        <row r="336">
          <cell r="F336">
            <v>0</v>
          </cell>
        </row>
        <row r="337">
          <cell r="F337">
            <v>0</v>
          </cell>
        </row>
        <row r="338">
          <cell r="F338">
            <v>-9375</v>
          </cell>
        </row>
        <row r="339">
          <cell r="F339">
            <v>0</v>
          </cell>
        </row>
        <row r="340">
          <cell r="F340">
            <v>51024.15</v>
          </cell>
        </row>
        <row r="341">
          <cell r="F341">
            <v>480103.75</v>
          </cell>
        </row>
        <row r="342">
          <cell r="F342">
            <v>5660240</v>
          </cell>
        </row>
        <row r="343">
          <cell r="F343">
            <v>221805.4</v>
          </cell>
        </row>
        <row r="344">
          <cell r="F344">
            <v>0</v>
          </cell>
        </row>
        <row r="345">
          <cell r="F345">
            <v>1957</v>
          </cell>
        </row>
        <row r="346">
          <cell r="F346">
            <v>0</v>
          </cell>
        </row>
        <row r="347">
          <cell r="F347">
            <v>8309.83</v>
          </cell>
        </row>
        <row r="348">
          <cell r="F348">
            <v>80028.37</v>
          </cell>
        </row>
        <row r="349">
          <cell r="D349">
            <v>218437.34</v>
          </cell>
        </row>
        <row r="350">
          <cell r="F350">
            <v>49292.74</v>
          </cell>
        </row>
        <row r="352">
          <cell r="F352">
            <v>0</v>
          </cell>
        </row>
        <row r="353">
          <cell r="F353">
            <v>0</v>
          </cell>
        </row>
        <row r="354">
          <cell r="F354">
            <v>0</v>
          </cell>
        </row>
        <row r="355">
          <cell r="F355">
            <v>8390.38</v>
          </cell>
        </row>
        <row r="367">
          <cell r="G367">
            <v>-19236.47</v>
          </cell>
        </row>
        <row r="372">
          <cell r="G372">
            <v>-116.54</v>
          </cell>
        </row>
        <row r="374">
          <cell r="F374">
            <v>-18128.29</v>
          </cell>
        </row>
        <row r="375">
          <cell r="F375">
            <v>-3368.92</v>
          </cell>
        </row>
        <row r="376">
          <cell r="G376">
            <v>-53668.880000000005</v>
          </cell>
        </row>
        <row r="379">
          <cell r="E379">
            <v>3815692.150000001</v>
          </cell>
        </row>
        <row r="429">
          <cell r="G429">
            <v>110245.51999999986</v>
          </cell>
        </row>
        <row r="431">
          <cell r="E431">
            <v>2160529.7000000007</v>
          </cell>
          <cell r="G431">
            <v>7074225.810000002</v>
          </cell>
        </row>
        <row r="455">
          <cell r="G455">
            <v>571547.5499999999</v>
          </cell>
        </row>
        <row r="477">
          <cell r="G477">
            <v>-510.530000000017</v>
          </cell>
        </row>
        <row r="497">
          <cell r="G497">
            <v>241058.48999999996</v>
          </cell>
        </row>
        <row r="517">
          <cell r="G517">
            <v>-262.9200000000019</v>
          </cell>
        </row>
        <row r="518">
          <cell r="E518">
            <v>216153.58000000007</v>
          </cell>
          <cell r="G518">
            <v>811832.5899999997</v>
          </cell>
        </row>
        <row r="522">
          <cell r="G522">
            <v>0</v>
          </cell>
        </row>
        <row r="523">
          <cell r="E523">
            <v>0</v>
          </cell>
          <cell r="G523">
            <v>0</v>
          </cell>
        </row>
        <row r="564">
          <cell r="G564">
            <v>918359.2999999999</v>
          </cell>
        </row>
        <row r="576">
          <cell r="G576">
            <v>57630</v>
          </cell>
        </row>
        <row r="581">
          <cell r="E581">
            <v>624643.7999999999</v>
          </cell>
          <cell r="G581">
            <v>1164365.98</v>
          </cell>
        </row>
        <row r="929">
          <cell r="F929">
            <v>-120.73000000000002</v>
          </cell>
        </row>
        <row r="932">
          <cell r="F932">
            <v>-6995.7</v>
          </cell>
        </row>
        <row r="938">
          <cell r="E938">
            <v>972573.2000000009</v>
          </cell>
          <cell r="G938">
            <v>1889942.2299999997</v>
          </cell>
        </row>
        <row r="949">
          <cell r="G949">
            <v>-1803531.0900000038</v>
          </cell>
        </row>
      </sheetData>
      <sheetData sheetId="2">
        <row r="8">
          <cell r="E8">
            <v>88329.03</v>
          </cell>
        </row>
        <row r="9">
          <cell r="E9">
            <v>368.82</v>
          </cell>
        </row>
        <row r="10">
          <cell r="E10">
            <v>0</v>
          </cell>
        </row>
        <row r="14">
          <cell r="E14">
            <v>82022</v>
          </cell>
        </row>
        <row r="15">
          <cell r="E15">
            <v>7</v>
          </cell>
        </row>
        <row r="16">
          <cell r="E16">
            <v>0</v>
          </cell>
        </row>
        <row r="20">
          <cell r="E20">
            <v>106032.46</v>
          </cell>
        </row>
        <row r="21">
          <cell r="E21">
            <v>19521.36</v>
          </cell>
        </row>
        <row r="22">
          <cell r="E22">
            <v>0</v>
          </cell>
        </row>
        <row r="26">
          <cell r="D26">
            <v>2807761.84</v>
          </cell>
          <cell r="E26">
            <v>3297459.7516644</v>
          </cell>
        </row>
        <row r="27">
          <cell r="D27">
            <v>227947</v>
          </cell>
          <cell r="E27">
            <v>405480.2822427551</v>
          </cell>
        </row>
        <row r="28">
          <cell r="D28">
            <v>0</v>
          </cell>
          <cell r="E28">
            <v>3082.743594085453</v>
          </cell>
        </row>
        <row r="40">
          <cell r="E40">
            <v>5697722.205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12-31-01(A)"/>
      <sheetName val="Admitted2"/>
      <sheetName val="Operations3"/>
      <sheetName val="CashFlow4"/>
      <sheetName val="InvestInterest5-6"/>
      <sheetName val="InvestExp7"/>
      <sheetName val="CFWorkSheet"/>
    </sheetNames>
    <sheetDataSet>
      <sheetData sheetId="0">
        <row r="16">
          <cell r="G16">
            <v>-1824312.25</v>
          </cell>
        </row>
        <row r="22">
          <cell r="G22">
            <v>14016147.71</v>
          </cell>
        </row>
        <row r="25">
          <cell r="G25">
            <v>10919.7</v>
          </cell>
        </row>
        <row r="33">
          <cell r="G33">
            <v>11390.23</v>
          </cell>
        </row>
        <row r="53">
          <cell r="G53">
            <v>46619.55000000002</v>
          </cell>
        </row>
        <row r="66">
          <cell r="G66">
            <v>-8315559</v>
          </cell>
        </row>
        <row r="111">
          <cell r="G111">
            <v>-6146418.700000001</v>
          </cell>
        </row>
        <row r="167">
          <cell r="G167">
            <v>-556689.1599999999</v>
          </cell>
        </row>
        <row r="170">
          <cell r="G170">
            <v>-44400</v>
          </cell>
        </row>
        <row r="173">
          <cell r="F173">
            <v>0</v>
          </cell>
        </row>
        <row r="187">
          <cell r="G187">
            <v>-486308.19</v>
          </cell>
        </row>
        <row r="200">
          <cell r="G200">
            <v>-990744.0999999999</v>
          </cell>
        </row>
        <row r="220">
          <cell r="G220">
            <v>-3410.26</v>
          </cell>
        </row>
        <row r="222">
          <cell r="G222">
            <v>-619959</v>
          </cell>
        </row>
        <row r="229">
          <cell r="G229">
            <v>-240240</v>
          </cell>
        </row>
        <row r="231">
          <cell r="F231">
            <v>-23699.49</v>
          </cell>
        </row>
        <row r="233">
          <cell r="F233">
            <v>-92796.26</v>
          </cell>
        </row>
        <row r="234">
          <cell r="F234">
            <v>-7416.9</v>
          </cell>
        </row>
        <row r="235">
          <cell r="F235">
            <v>49696.74</v>
          </cell>
        </row>
        <row r="241">
          <cell r="F241">
            <v>63918.22</v>
          </cell>
        </row>
        <row r="242">
          <cell r="G242">
            <v>46506631.81</v>
          </cell>
        </row>
        <row r="249">
          <cell r="G249">
            <v>-7701250</v>
          </cell>
        </row>
        <row r="254">
          <cell r="G254">
            <v>-1218299.3599999999</v>
          </cell>
        </row>
        <row r="255">
          <cell r="F255">
            <v>-36085826.63</v>
          </cell>
        </row>
      </sheetData>
      <sheetData sheetId="2">
        <row r="42">
          <cell r="G42">
            <v>-5217178.944170429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12-31-01 (B)"/>
      <sheetName val="TB12-31-01(A)"/>
      <sheetName val="(11) Balance Sheet"/>
      <sheetName val="(10)Income Statement"/>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Reserve-p13"/>
      <sheetName val="(3)Cal. UPLR-p14B"/>
      <sheetName val="ALAE &amp; ULAE (4-5)"/>
      <sheetName val="(2)Loss Exp Factor-p15"/>
      <sheetName val="(1)LEP-QTD-p16JE5"/>
      <sheetName val="(1)LEP-QTD-p16JE5 (2)"/>
      <sheetName val="(1)Loss Exp Paid YTD-p17"/>
      <sheetName val="Pg17Calc"/>
      <sheetName val="IBNR JE2"/>
      <sheetName val="UPR-JE1"/>
      <sheetName val="PostRetireJE"/>
      <sheetName val="CommExp"/>
      <sheetName val="Advance-JE3"/>
      <sheetName val="Ahighlights1"/>
      <sheetName val="ABalance2"/>
      <sheetName val="AIncome3"/>
      <sheetName val="bs - fx QTR"/>
      <sheetName val="bs-fx YTD"/>
      <sheetName val="inc-fx YTD"/>
      <sheetName val="inc - fx QTR"/>
      <sheetName val="Loss-QTR"/>
      <sheetName val="Loss-YTD"/>
      <sheetName val="compare"/>
      <sheetName val="WP-Total"/>
      <sheetName val="WP-LOB"/>
      <sheetName val="WP-All"/>
      <sheetName val="POL-LOB"/>
      <sheetName val="IFP-LOB"/>
      <sheetName val="Sheet1"/>
      <sheetName val="IFP-3YR"/>
    </sheetNames>
    <sheetDataSet>
      <sheetData sheetId="3">
        <row r="37">
          <cell r="E37">
            <v>-5217176.914600432</v>
          </cell>
        </row>
      </sheetData>
      <sheetData sheetId="5">
        <row r="9">
          <cell r="I9">
            <v>41000</v>
          </cell>
        </row>
        <row r="10">
          <cell r="H10">
            <v>422680.17999999993</v>
          </cell>
        </row>
        <row r="14">
          <cell r="H14">
            <v>15870023.739999998</v>
          </cell>
        </row>
        <row r="15">
          <cell r="H15">
            <v>1253988.2300000002</v>
          </cell>
        </row>
        <row r="16">
          <cell r="H16">
            <v>403619.69</v>
          </cell>
        </row>
        <row r="17">
          <cell r="H17">
            <v>54791.7</v>
          </cell>
        </row>
        <row r="18">
          <cell r="H18">
            <v>234845.53</v>
          </cell>
        </row>
        <row r="19">
          <cell r="H19">
            <v>1497487.5500000003</v>
          </cell>
        </row>
        <row r="20">
          <cell r="H20">
            <v>15000</v>
          </cell>
        </row>
        <row r="21">
          <cell r="H21">
            <v>3501080.9799999986</v>
          </cell>
        </row>
        <row r="22">
          <cell r="H22">
            <v>45262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fx QTD"/>
      <sheetName val="bs - fx YTD"/>
      <sheetName val="inc-fx QTD"/>
      <sheetName val="inc - fx YTD"/>
      <sheetName val="3Q03 TRIAL BALANCE"/>
      <sheetName val="IBNR Calculation-p13"/>
      <sheetName val="Calculate Unpaid Losses-p14"/>
      <sheetName val="Loss Exp Factor-15"/>
      <sheetName val="Loss Expenses Paid QTD-16"/>
      <sheetName val="Loss Expenses Paid YTD-17"/>
    </sheetNames>
    <sheetDataSet>
      <sheetData sheetId="5">
        <row r="9">
          <cell r="E9">
            <v>27649</v>
          </cell>
        </row>
        <row r="10">
          <cell r="E10">
            <v>6</v>
          </cell>
        </row>
        <row r="11">
          <cell r="E11">
            <v>0</v>
          </cell>
        </row>
        <row r="16">
          <cell r="E16">
            <v>90525</v>
          </cell>
        </row>
        <row r="17">
          <cell r="E17">
            <v>2</v>
          </cell>
        </row>
        <row r="18">
          <cell r="E18">
            <v>0</v>
          </cell>
        </row>
        <row r="23">
          <cell r="E23">
            <v>101025</v>
          </cell>
        </row>
        <row r="24">
          <cell r="E24">
            <v>37021</v>
          </cell>
        </row>
        <row r="25">
          <cell r="E25">
            <v>0</v>
          </cell>
        </row>
        <row r="30">
          <cell r="C30">
            <v>248176.33</v>
          </cell>
          <cell r="E30">
            <v>2672513.43</v>
          </cell>
        </row>
        <row r="31">
          <cell r="C31">
            <v>86482.32</v>
          </cell>
          <cell r="E31">
            <v>281230.53</v>
          </cell>
        </row>
        <row r="32">
          <cell r="C32">
            <v>1240.37</v>
          </cell>
          <cell r="E32">
            <v>1240.37</v>
          </cell>
        </row>
        <row r="36">
          <cell r="C36">
            <v>884313.98</v>
          </cell>
          <cell r="E36">
            <v>2512534.17</v>
          </cell>
        </row>
        <row r="37">
          <cell r="C37">
            <v>292732.77</v>
          </cell>
          <cell r="E37">
            <v>505970.45</v>
          </cell>
        </row>
        <row r="38">
          <cell r="C38">
            <v>4297.33</v>
          </cell>
          <cell r="E38">
            <v>4297.33</v>
          </cell>
        </row>
      </sheetData>
      <sheetData sheetId="6">
        <row r="30">
          <cell r="B30">
            <v>181133.75</v>
          </cell>
          <cell r="C30">
            <v>269698.94999999995</v>
          </cell>
          <cell r="D30">
            <v>11238.67</v>
          </cell>
          <cell r="E30">
            <v>10070.58</v>
          </cell>
          <cell r="F30">
            <v>3075.8600000000006</v>
          </cell>
        </row>
        <row r="31">
          <cell r="B31">
            <v>23721.940000000002</v>
          </cell>
          <cell r="C31">
            <v>21665.05</v>
          </cell>
          <cell r="D31">
            <v>4118.45</v>
          </cell>
        </row>
        <row r="32">
          <cell r="B32">
            <v>0</v>
          </cell>
          <cell r="C32">
            <v>0</v>
          </cell>
          <cell r="D32">
            <v>0</v>
          </cell>
          <cell r="E32">
            <v>0</v>
          </cell>
          <cell r="F32">
            <v>0</v>
          </cell>
        </row>
      </sheetData>
      <sheetData sheetId="8">
        <row r="10">
          <cell r="E10">
            <v>1500</v>
          </cell>
          <cell r="K10">
            <v>4291.7699999999995</v>
          </cell>
        </row>
        <row r="11">
          <cell r="E11">
            <v>0</v>
          </cell>
          <cell r="K11">
            <v>362.45</v>
          </cell>
        </row>
        <row r="12">
          <cell r="E12">
            <v>0</v>
          </cell>
          <cell r="K12">
            <v>0</v>
          </cell>
        </row>
        <row r="13">
          <cell r="C13">
            <v>4588.69</v>
          </cell>
          <cell r="I13">
            <v>65.53</v>
          </cell>
        </row>
        <row r="16">
          <cell r="E16">
            <v>1000</v>
          </cell>
          <cell r="K16">
            <v>513.63</v>
          </cell>
        </row>
        <row r="17">
          <cell r="E17">
            <v>0</v>
          </cell>
          <cell r="K17">
            <v>1121</v>
          </cell>
        </row>
        <row r="18">
          <cell r="E18">
            <v>0</v>
          </cell>
          <cell r="K18">
            <v>0</v>
          </cell>
        </row>
        <row r="19">
          <cell r="C19">
            <v>1590.95</v>
          </cell>
          <cell r="I19">
            <v>43.68</v>
          </cell>
        </row>
        <row r="22">
          <cell r="E22">
            <v>0</v>
          </cell>
          <cell r="K22">
            <v>5985.51</v>
          </cell>
        </row>
        <row r="23">
          <cell r="E23">
            <v>3395</v>
          </cell>
          <cell r="K23">
            <v>4296.3</v>
          </cell>
        </row>
        <row r="24">
          <cell r="E24">
            <v>0</v>
          </cell>
          <cell r="K24">
            <v>0</v>
          </cell>
        </row>
        <row r="25">
          <cell r="C25">
            <v>10133.5</v>
          </cell>
          <cell r="I25">
            <v>148.31</v>
          </cell>
        </row>
        <row r="28">
          <cell r="E28">
            <v>1862551.24</v>
          </cell>
          <cell r="K28">
            <v>177844.31</v>
          </cell>
        </row>
        <row r="29">
          <cell r="E29">
            <v>146469.9</v>
          </cell>
          <cell r="K29">
            <v>60746.759999999995</v>
          </cell>
        </row>
        <row r="30">
          <cell r="E30">
            <v>0</v>
          </cell>
          <cell r="K30">
            <v>0</v>
          </cell>
        </row>
        <row r="31">
          <cell r="C31">
            <v>150828.13</v>
          </cell>
          <cell r="I31">
            <v>87762.94</v>
          </cell>
        </row>
        <row r="34">
          <cell r="E34">
            <v>400689.53</v>
          </cell>
          <cell r="K34">
            <v>42116.67</v>
          </cell>
        </row>
        <row r="35">
          <cell r="E35">
            <v>129630.64</v>
          </cell>
          <cell r="K35">
            <v>43991.28</v>
          </cell>
        </row>
        <row r="36">
          <cell r="E36">
            <v>0</v>
          </cell>
          <cell r="K36">
            <v>0</v>
          </cell>
        </row>
        <row r="37">
          <cell r="C37">
            <v>62941.21000000001</v>
          </cell>
          <cell r="I37">
            <v>23166.74</v>
          </cell>
        </row>
      </sheetData>
      <sheetData sheetId="9">
        <row r="10">
          <cell r="E10">
            <v>-7875</v>
          </cell>
          <cell r="K10">
            <v>22298.11</v>
          </cell>
        </row>
        <row r="11">
          <cell r="E11">
            <v>1957</v>
          </cell>
          <cell r="K11">
            <v>2209.7799999999997</v>
          </cell>
        </row>
        <row r="12">
          <cell r="E12">
            <v>0</v>
          </cell>
          <cell r="K12">
            <v>0</v>
          </cell>
        </row>
        <row r="13">
          <cell r="C13">
            <v>24720.31</v>
          </cell>
          <cell r="I13">
            <v>-212.42000000000002</v>
          </cell>
        </row>
        <row r="16">
          <cell r="E16">
            <v>52024.15</v>
          </cell>
          <cell r="K16">
            <v>6615.72</v>
          </cell>
        </row>
        <row r="17">
          <cell r="E17">
            <v>8309.83</v>
          </cell>
          <cell r="K17">
            <v>4585.02</v>
          </cell>
        </row>
        <row r="18">
          <cell r="E18">
            <v>0</v>
          </cell>
          <cell r="K18">
            <v>0</v>
          </cell>
        </row>
        <row r="19">
          <cell r="C19">
            <v>9187.19</v>
          </cell>
          <cell r="I19">
            <v>2013.55</v>
          </cell>
        </row>
        <row r="22">
          <cell r="E22">
            <v>480103.75</v>
          </cell>
          <cell r="K22">
            <v>67384.51000000001</v>
          </cell>
        </row>
        <row r="23">
          <cell r="E23">
            <v>83423.37</v>
          </cell>
          <cell r="K23">
            <v>34152.41</v>
          </cell>
        </row>
        <row r="24">
          <cell r="E24">
            <v>0</v>
          </cell>
          <cell r="K24">
            <v>0</v>
          </cell>
        </row>
        <row r="25">
          <cell r="C25">
            <v>80977.87</v>
          </cell>
          <cell r="I25">
            <v>20559.05</v>
          </cell>
        </row>
        <row r="28">
          <cell r="E28">
            <v>7522791.24</v>
          </cell>
          <cell r="K28">
            <v>625853.11</v>
          </cell>
        </row>
        <row r="29">
          <cell r="E29">
            <v>612342.45</v>
          </cell>
          <cell r="K29">
            <v>258746.26</v>
          </cell>
        </row>
        <row r="30">
          <cell r="E30">
            <v>8390.38</v>
          </cell>
          <cell r="K30">
            <v>1850.9</v>
          </cell>
        </row>
        <row r="31">
          <cell r="C31">
            <v>588457.08</v>
          </cell>
          <cell r="I31">
            <v>297993.19</v>
          </cell>
        </row>
        <row r="34">
          <cell r="E34">
            <v>622494.93</v>
          </cell>
          <cell r="K34">
            <v>65209.600000000006</v>
          </cell>
        </row>
        <row r="35">
          <cell r="E35">
            <v>178923.38</v>
          </cell>
          <cell r="K35">
            <v>64970.3</v>
          </cell>
        </row>
        <row r="36">
          <cell r="E36">
            <v>0</v>
          </cell>
          <cell r="K36">
            <v>0</v>
          </cell>
        </row>
        <row r="37">
          <cell r="C37">
            <v>98287.58</v>
          </cell>
          <cell r="I37">
            <v>31892.32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fx QTD"/>
      <sheetName val="bs - fx YTD"/>
      <sheetName val="inc-fx QTD"/>
      <sheetName val="inc - fx YTD"/>
      <sheetName val="3Q03 TRIAL BALANCE"/>
    </sheetNames>
    <sheetDataSet>
      <sheetData sheetId="4">
        <row r="13">
          <cell r="F13">
            <v>-1731307.7999999998</v>
          </cell>
        </row>
        <row r="19">
          <cell r="F19">
            <v>10815310.21</v>
          </cell>
        </row>
        <row r="21">
          <cell r="F21">
            <v>6721.74</v>
          </cell>
        </row>
        <row r="25">
          <cell r="F25">
            <v>8355.49</v>
          </cell>
        </row>
        <row r="36">
          <cell r="E36">
            <v>-414542</v>
          </cell>
        </row>
        <row r="37">
          <cell r="E37">
            <v>-7523356</v>
          </cell>
        </row>
        <row r="38">
          <cell r="E38">
            <v>-140633</v>
          </cell>
        </row>
        <row r="39">
          <cell r="E39">
            <v>-2489941</v>
          </cell>
        </row>
        <row r="40">
          <cell r="E40">
            <v>-1949</v>
          </cell>
        </row>
        <row r="41">
          <cell r="E41">
            <v>-36470</v>
          </cell>
        </row>
        <row r="62">
          <cell r="F62">
            <v>-4716771.18</v>
          </cell>
        </row>
        <row r="69">
          <cell r="F69">
            <v>-1517243.1000000003</v>
          </cell>
        </row>
        <row r="97">
          <cell r="F97">
            <v>-346402.18999999994</v>
          </cell>
        </row>
        <row r="122">
          <cell r="F122">
            <v>-178321.96</v>
          </cell>
        </row>
        <row r="126">
          <cell r="F126">
            <v>-37652.65</v>
          </cell>
        </row>
        <row r="128">
          <cell r="F128">
            <v>-5175</v>
          </cell>
        </row>
        <row r="131">
          <cell r="F131">
            <v>-29989.640000000003</v>
          </cell>
        </row>
        <row r="133">
          <cell r="F133">
            <v>-12097.4</v>
          </cell>
        </row>
        <row r="142">
          <cell r="F142">
            <v>-305437.57999999996</v>
          </cell>
        </row>
        <row r="151">
          <cell r="F151">
            <v>-471501.81</v>
          </cell>
        </row>
        <row r="167">
          <cell r="F167">
            <v>-4309.54</v>
          </cell>
        </row>
        <row r="169">
          <cell r="F169">
            <v>-1055024</v>
          </cell>
        </row>
        <row r="171">
          <cell r="F171">
            <v>-679897</v>
          </cell>
        </row>
        <row r="175">
          <cell r="F175">
            <v>-402054</v>
          </cell>
        </row>
        <row r="179">
          <cell r="F179">
            <v>-103133.56000000003</v>
          </cell>
        </row>
        <row r="194">
          <cell r="C194">
            <v>282</v>
          </cell>
          <cell r="E194">
            <v>-98</v>
          </cell>
        </row>
        <row r="195">
          <cell r="C195">
            <v>493</v>
          </cell>
          <cell r="E195">
            <v>3095</v>
          </cell>
        </row>
        <row r="196">
          <cell r="C196">
            <v>19637</v>
          </cell>
          <cell r="E196">
            <v>80974</v>
          </cell>
        </row>
        <row r="197">
          <cell r="C197">
            <v>-4172904</v>
          </cell>
          <cell r="E197">
            <v>-11889962</v>
          </cell>
        </row>
        <row r="198">
          <cell r="C198">
            <v>160</v>
          </cell>
          <cell r="E198">
            <v>10</v>
          </cell>
        </row>
        <row r="199">
          <cell r="C199">
            <v>182</v>
          </cell>
          <cell r="E199">
            <v>1462</v>
          </cell>
        </row>
        <row r="200">
          <cell r="C200">
            <v>9676</v>
          </cell>
          <cell r="E200">
            <v>26076</v>
          </cell>
        </row>
        <row r="201">
          <cell r="C201">
            <v>-1378233</v>
          </cell>
          <cell r="E201">
            <v>-3926640</v>
          </cell>
        </row>
        <row r="202">
          <cell r="C202">
            <v>222</v>
          </cell>
          <cell r="E202">
            <v>757</v>
          </cell>
        </row>
        <row r="203">
          <cell r="C203">
            <v>-19768</v>
          </cell>
          <cell r="E203">
            <v>-57787</v>
          </cell>
        </row>
        <row r="229">
          <cell r="D229">
            <v>-26859.149999999994</v>
          </cell>
          <cell r="F229">
            <v>-88395.67</v>
          </cell>
        </row>
        <row r="244">
          <cell r="D244">
            <v>2545236.31</v>
          </cell>
          <cell r="F244">
            <v>9562885.48</v>
          </cell>
        </row>
        <row r="246">
          <cell r="E246">
            <v>-10.38</v>
          </cell>
        </row>
        <row r="247">
          <cell r="C247">
            <v>-850</v>
          </cell>
          <cell r="E247">
            <v>-1797.75</v>
          </cell>
        </row>
        <row r="248">
          <cell r="C248">
            <v>-70000</v>
          </cell>
          <cell r="E248">
            <v>-70000</v>
          </cell>
        </row>
        <row r="249">
          <cell r="E249">
            <v>-10000</v>
          </cell>
        </row>
        <row r="250">
          <cell r="E250">
            <v>-8278.34</v>
          </cell>
        </row>
        <row r="251">
          <cell r="E251">
            <v>-4302.05</v>
          </cell>
        </row>
        <row r="252">
          <cell r="C252">
            <v>-1790.05</v>
          </cell>
          <cell r="E252">
            <v>-3080.05</v>
          </cell>
        </row>
        <row r="253">
          <cell r="E253">
            <v>-7226.61</v>
          </cell>
        </row>
        <row r="254">
          <cell r="C254">
            <v>-61.1</v>
          </cell>
          <cell r="E254">
            <v>-177.64</v>
          </cell>
        </row>
        <row r="255">
          <cell r="E255">
            <v>-18128.29</v>
          </cell>
        </row>
        <row r="256">
          <cell r="D256">
            <v>-72701.15000000001</v>
          </cell>
          <cell r="E256">
            <v>-3368.92</v>
          </cell>
          <cell r="F256">
            <v>-126370.03000000001</v>
          </cell>
        </row>
        <row r="309">
          <cell r="D309">
            <v>230082.48</v>
          </cell>
          <cell r="F309">
            <v>801630.0299999999</v>
          </cell>
        </row>
        <row r="333">
          <cell r="D333">
            <v>111187.2</v>
          </cell>
          <cell r="F333">
            <v>352245.69</v>
          </cell>
        </row>
        <row r="349">
          <cell r="C349">
            <v>-28.2</v>
          </cell>
          <cell r="E349">
            <v>9.8</v>
          </cell>
        </row>
        <row r="350">
          <cell r="C350">
            <v>-49.3</v>
          </cell>
          <cell r="E350">
            <v>-309.5</v>
          </cell>
        </row>
        <row r="351">
          <cell r="C351">
            <v>-1963.7</v>
          </cell>
          <cell r="E351">
            <v>-8097.4</v>
          </cell>
        </row>
        <row r="352">
          <cell r="C352">
            <v>420509.3</v>
          </cell>
          <cell r="E352">
            <v>1194433.7</v>
          </cell>
        </row>
        <row r="353">
          <cell r="C353">
            <v>-16</v>
          </cell>
          <cell r="E353">
            <v>-1</v>
          </cell>
        </row>
        <row r="354">
          <cell r="C354">
            <v>-18.2</v>
          </cell>
          <cell r="E354">
            <v>-146.2</v>
          </cell>
        </row>
        <row r="355">
          <cell r="C355">
            <v>-967.6</v>
          </cell>
          <cell r="E355">
            <v>-2607.6</v>
          </cell>
        </row>
        <row r="356">
          <cell r="C356">
            <v>139205</v>
          </cell>
          <cell r="E356">
            <v>395039</v>
          </cell>
        </row>
        <row r="357">
          <cell r="C357">
            <v>-22.2</v>
          </cell>
          <cell r="E357">
            <v>-78.6</v>
          </cell>
        </row>
        <row r="358">
          <cell r="C358">
            <v>1992.65</v>
          </cell>
          <cell r="E358">
            <v>6136.65</v>
          </cell>
        </row>
        <row r="360">
          <cell r="C360">
            <v>115.5</v>
          </cell>
          <cell r="E360">
            <v>1040.1</v>
          </cell>
        </row>
        <row r="361">
          <cell r="C361">
            <v>-44663.9</v>
          </cell>
          <cell r="E361">
            <v>-131479.7</v>
          </cell>
        </row>
        <row r="362">
          <cell r="C362">
            <v>136.3</v>
          </cell>
          <cell r="E362">
            <v>153.8</v>
          </cell>
        </row>
        <row r="363">
          <cell r="C363">
            <v>-11217.5</v>
          </cell>
          <cell r="E363">
            <v>-32435.2</v>
          </cell>
        </row>
        <row r="364">
          <cell r="C364">
            <v>6.6</v>
          </cell>
          <cell r="E364">
            <v>6.6</v>
          </cell>
        </row>
        <row r="365">
          <cell r="C365">
            <v>-124.95</v>
          </cell>
          <cell r="E365">
            <v>-411.35</v>
          </cell>
        </row>
        <row r="367">
          <cell r="D367">
            <v>502893.80000000005</v>
          </cell>
          <cell r="F367">
            <v>1421253.0999999999</v>
          </cell>
        </row>
        <row r="370">
          <cell r="D370">
            <v>0</v>
          </cell>
          <cell r="F370">
            <v>23248.01</v>
          </cell>
        </row>
        <row r="372">
          <cell r="D372">
            <v>3506.25</v>
          </cell>
          <cell r="F372">
            <v>11756.25</v>
          </cell>
        </row>
        <row r="380">
          <cell r="D380">
            <v>84597.94</v>
          </cell>
          <cell r="F380">
            <v>241476.61</v>
          </cell>
        </row>
        <row r="671">
          <cell r="D671">
            <v>990034.7700000003</v>
          </cell>
          <cell r="F671">
            <v>2879976.9999999977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17">
          <cell r="D17">
            <v>264960.98</v>
          </cell>
        </row>
        <row r="45">
          <cell r="E45">
            <v>-11338276.419999996</v>
          </cell>
        </row>
      </sheetData>
      <sheetData sheetId="2">
        <row r="30">
          <cell r="E30">
            <v>-9552178.5</v>
          </cell>
        </row>
      </sheetData>
      <sheetData sheetId="4">
        <row r="33">
          <cell r="C33">
            <v>282394.17</v>
          </cell>
        </row>
      </sheetData>
      <sheetData sheetId="5">
        <row r="33">
          <cell r="B33">
            <v>22966</v>
          </cell>
        </row>
        <row r="41">
          <cell r="B41">
            <v>309880.65</v>
          </cell>
        </row>
        <row r="49">
          <cell r="B49">
            <v>11315.82</v>
          </cell>
        </row>
      </sheetData>
      <sheetData sheetId="6">
        <row r="34">
          <cell r="B34">
            <v>46320</v>
          </cell>
        </row>
        <row r="42">
          <cell r="B42">
            <v>356304.2</v>
          </cell>
        </row>
        <row r="50">
          <cell r="B50">
            <v>17083.95</v>
          </cell>
        </row>
      </sheetData>
      <sheetData sheetId="8">
        <row r="14">
          <cell r="B14">
            <v>5831024</v>
          </cell>
          <cell r="C14">
            <v>1657700</v>
          </cell>
          <cell r="D14">
            <v>0</v>
          </cell>
          <cell r="E14">
            <v>0</v>
          </cell>
          <cell r="F14">
            <v>0</v>
          </cell>
        </row>
        <row r="15">
          <cell r="B15">
            <v>1931161</v>
          </cell>
          <cell r="C15">
            <v>585706</v>
          </cell>
          <cell r="D15">
            <v>0</v>
          </cell>
          <cell r="E15">
            <v>0</v>
          </cell>
          <cell r="F15">
            <v>0</v>
          </cell>
        </row>
        <row r="16">
          <cell r="B16">
            <v>28873</v>
          </cell>
          <cell r="C16">
            <v>9223</v>
          </cell>
          <cell r="D16">
            <v>0</v>
          </cell>
          <cell r="E16">
            <v>0</v>
          </cell>
          <cell r="F16">
            <v>0</v>
          </cell>
        </row>
        <row r="20">
          <cell r="B20">
            <v>0</v>
          </cell>
          <cell r="C20">
            <v>6494180</v>
          </cell>
          <cell r="D20">
            <v>0</v>
          </cell>
          <cell r="E20">
            <v>0</v>
          </cell>
          <cell r="F20">
            <v>0</v>
          </cell>
        </row>
        <row r="21">
          <cell r="B21">
            <v>0</v>
          </cell>
          <cell r="C21">
            <v>2362142</v>
          </cell>
          <cell r="D21">
            <v>0</v>
          </cell>
          <cell r="E21">
            <v>0</v>
          </cell>
          <cell r="F21">
            <v>0</v>
          </cell>
        </row>
        <row r="22">
          <cell r="B22">
            <v>0</v>
          </cell>
          <cell r="C22">
            <v>40804</v>
          </cell>
          <cell r="D22">
            <v>0</v>
          </cell>
          <cell r="E22">
            <v>0</v>
          </cell>
          <cell r="F22">
            <v>0</v>
          </cell>
        </row>
      </sheetData>
      <sheetData sheetId="11">
        <row r="15">
          <cell r="B15">
            <v>1430800.6961725808</v>
          </cell>
          <cell r="C15">
            <v>3297459.7516644</v>
          </cell>
          <cell r="D15">
            <v>106032.46</v>
          </cell>
          <cell r="E15">
            <v>82022</v>
          </cell>
          <cell r="F15">
            <v>88329.03</v>
          </cell>
        </row>
        <row r="16">
          <cell r="B16">
            <v>261799.88269716201</v>
          </cell>
          <cell r="C16">
            <v>405480.2822427551</v>
          </cell>
          <cell r="D16">
            <v>19521.36</v>
          </cell>
          <cell r="E16">
            <v>7</v>
          </cell>
          <cell r="F16">
            <v>368.82</v>
          </cell>
        </row>
        <row r="17">
          <cell r="B17">
            <v>2818.1886290164193</v>
          </cell>
          <cell r="C17">
            <v>3082.743594085453</v>
          </cell>
          <cell r="D17">
            <v>0</v>
          </cell>
          <cell r="E17">
            <v>0</v>
          </cell>
          <cell r="F17">
            <v>0</v>
          </cell>
        </row>
        <row r="21">
          <cell r="B21">
            <v>0</v>
          </cell>
          <cell r="C21">
            <v>3812745.98</v>
          </cell>
          <cell r="D21">
            <v>796383.85</v>
          </cell>
          <cell r="E21">
            <v>173012</v>
          </cell>
          <cell r="F21">
            <v>76334.03</v>
          </cell>
        </row>
        <row r="22">
          <cell r="B22">
            <v>0</v>
          </cell>
          <cell r="C22">
            <v>582572.89</v>
          </cell>
          <cell r="D22">
            <v>136273.61</v>
          </cell>
          <cell r="E22">
            <v>-982</v>
          </cell>
          <cell r="F22">
            <v>2332.82</v>
          </cell>
        </row>
        <row r="23">
          <cell r="B23">
            <v>0</v>
          </cell>
          <cell r="C23">
            <v>8803.51</v>
          </cell>
          <cell r="D23">
            <v>0</v>
          </cell>
          <cell r="E23">
            <v>0</v>
          </cell>
          <cell r="F23">
            <v>0</v>
          </cell>
        </row>
      </sheetData>
      <sheetData sheetId="13">
        <row r="15">
          <cell r="B15">
            <v>95452.31</v>
          </cell>
          <cell r="C15">
            <v>312223.12</v>
          </cell>
          <cell r="D15">
            <v>11790.81</v>
          </cell>
          <cell r="E15">
            <v>9120.84</v>
          </cell>
          <cell r="F15">
            <v>9822.19</v>
          </cell>
        </row>
        <row r="16">
          <cell r="B16">
            <v>8094.25</v>
          </cell>
          <cell r="C16">
            <v>25347.71</v>
          </cell>
          <cell r="D16">
            <v>2170.7799999999997</v>
          </cell>
          <cell r="E16">
            <v>0.77</v>
          </cell>
          <cell r="F16">
            <v>41.00999999999962</v>
          </cell>
        </row>
        <row r="17">
          <cell r="B17">
            <v>0</v>
          </cell>
          <cell r="C17">
            <v>0</v>
          </cell>
          <cell r="D17">
            <v>0</v>
          </cell>
          <cell r="E17">
            <v>0</v>
          </cell>
          <cell r="F17">
            <v>0</v>
          </cell>
        </row>
        <row r="21">
          <cell r="B21">
            <v>0</v>
          </cell>
          <cell r="C21">
            <v>317462.7</v>
          </cell>
          <cell r="D21">
            <v>88557.88</v>
          </cell>
          <cell r="E21">
            <v>19238.94</v>
          </cell>
          <cell r="F21">
            <v>8488.33</v>
          </cell>
        </row>
        <row r="22">
          <cell r="B22">
            <v>0</v>
          </cell>
          <cell r="C22">
            <v>25507.54</v>
          </cell>
          <cell r="D22">
            <v>15153.62</v>
          </cell>
          <cell r="E22">
            <v>-109.2</v>
          </cell>
          <cell r="F22">
            <v>259.41</v>
          </cell>
        </row>
        <row r="23">
          <cell r="B23">
            <v>0</v>
          </cell>
          <cell r="C23">
            <v>278</v>
          </cell>
          <cell r="D23">
            <v>0</v>
          </cell>
          <cell r="E23">
            <v>0</v>
          </cell>
          <cell r="F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T62"/>
  <sheetViews>
    <sheetView workbookViewId="0" topLeftCell="A33">
      <selection activeCell="F37" sqref="F37"/>
    </sheetView>
  </sheetViews>
  <sheetFormatPr defaultColWidth="9.140625" defaultRowHeight="12.75"/>
  <cols>
    <col min="1" max="1" width="15.28125" style="236" customWidth="1"/>
    <col min="2" max="2" width="23.57421875" style="0" customWidth="1"/>
    <col min="3" max="3" width="12.140625" style="0" hidden="1" customWidth="1"/>
    <col min="4" max="4" width="11.28125" style="0" hidden="1" customWidth="1"/>
    <col min="5" max="5" width="13.7109375" style="310" customWidth="1"/>
    <col min="6" max="6" width="13.7109375" style="311" customWidth="1"/>
    <col min="7" max="7" width="12.8515625" style="265" bestFit="1" customWidth="1"/>
    <col min="8" max="8" width="11.7109375" style="301" customWidth="1"/>
    <col min="9" max="9" width="14.140625" style="301" customWidth="1"/>
    <col min="10" max="10" width="15.57421875" style="301" customWidth="1"/>
    <col min="11" max="11" width="12.421875" style="301" customWidth="1"/>
    <col min="12" max="12" width="11.57421875" style="301" customWidth="1"/>
    <col min="13" max="13" width="14.7109375" style="301" customWidth="1"/>
    <col min="14" max="14" width="11.8515625" style="301" customWidth="1"/>
  </cols>
  <sheetData>
    <row r="1" spans="2:14" ht="30">
      <c r="B1" s="237" t="s">
        <v>110</v>
      </c>
      <c r="C1" s="238"/>
      <c r="D1" s="238"/>
      <c r="E1" s="239"/>
      <c r="F1" s="240"/>
      <c r="G1" s="241"/>
      <c r="H1" s="242"/>
      <c r="I1" s="242"/>
      <c r="J1" s="242"/>
      <c r="K1" s="242"/>
      <c r="L1" s="242"/>
      <c r="M1" s="242"/>
      <c r="N1" s="242"/>
    </row>
    <row r="2" spans="2:14" ht="12.75">
      <c r="B2" s="238"/>
      <c r="C2" s="238"/>
      <c r="D2" s="238"/>
      <c r="E2" s="239"/>
      <c r="F2" s="240"/>
      <c r="G2" s="241"/>
      <c r="H2" s="242"/>
      <c r="I2" s="242"/>
      <c r="J2" s="242"/>
      <c r="K2" s="242"/>
      <c r="L2" s="242"/>
      <c r="M2" s="242"/>
      <c r="N2" s="242"/>
    </row>
    <row r="3" spans="2:19" ht="12.75">
      <c r="B3" s="243" t="s">
        <v>21</v>
      </c>
      <c r="C3" s="244">
        <v>36160</v>
      </c>
      <c r="D3" s="244">
        <v>36160</v>
      </c>
      <c r="E3" s="245">
        <v>37256</v>
      </c>
      <c r="F3" s="246">
        <v>37621</v>
      </c>
      <c r="G3" s="247"/>
      <c r="H3" s="248"/>
      <c r="I3" s="248"/>
      <c r="J3" s="248"/>
      <c r="K3" s="248"/>
      <c r="L3" s="248"/>
      <c r="M3" s="248"/>
      <c r="N3" s="248"/>
      <c r="O3" s="249"/>
      <c r="P3" s="249"/>
      <c r="Q3" s="249"/>
      <c r="R3" s="250"/>
      <c r="S3" s="250"/>
    </row>
    <row r="4" spans="2:19" ht="13.5" thickBot="1">
      <c r="B4" s="243"/>
      <c r="C4" s="243"/>
      <c r="D4" s="243"/>
      <c r="E4" s="251"/>
      <c r="F4" s="252"/>
      <c r="G4" s="253"/>
      <c r="H4" s="248"/>
      <c r="I4" s="248"/>
      <c r="J4" s="248"/>
      <c r="K4" s="248"/>
      <c r="L4" s="248"/>
      <c r="M4" s="248"/>
      <c r="N4" s="248"/>
      <c r="O4" s="249"/>
      <c r="P4" s="249"/>
      <c r="Q4" s="249"/>
      <c r="R4" s="250"/>
      <c r="S4" s="250"/>
    </row>
    <row r="5" spans="1:19" ht="26.25" thickBot="1">
      <c r="A5" s="254" t="s">
        <v>51</v>
      </c>
      <c r="B5" s="255"/>
      <c r="C5" s="243" t="s">
        <v>10</v>
      </c>
      <c r="D5" s="243" t="s">
        <v>52</v>
      </c>
      <c r="E5" s="251" t="s">
        <v>53</v>
      </c>
      <c r="F5" s="252" t="s">
        <v>53</v>
      </c>
      <c r="G5" s="256" t="s">
        <v>172</v>
      </c>
      <c r="H5" s="248" t="s">
        <v>54</v>
      </c>
      <c r="I5" s="248" t="s">
        <v>55</v>
      </c>
      <c r="J5" s="248" t="s">
        <v>248</v>
      </c>
      <c r="K5" s="248" t="s">
        <v>56</v>
      </c>
      <c r="L5" s="248" t="s">
        <v>57</v>
      </c>
      <c r="M5" s="248" t="s">
        <v>58</v>
      </c>
      <c r="N5" s="248"/>
      <c r="O5" s="249"/>
      <c r="P5" s="249"/>
      <c r="Q5" s="249"/>
      <c r="R5" s="250"/>
      <c r="S5" s="250"/>
    </row>
    <row r="6" spans="1:14" ht="12.75">
      <c r="A6" s="236">
        <v>11100</v>
      </c>
      <c r="B6" s="238"/>
      <c r="C6" s="238"/>
      <c r="D6" s="238"/>
      <c r="E6" s="239"/>
      <c r="F6" s="257"/>
      <c r="G6" s="258"/>
      <c r="H6" s="242"/>
      <c r="I6" s="242"/>
      <c r="J6" s="242"/>
      <c r="K6" s="242"/>
      <c r="L6" s="242"/>
      <c r="M6" s="242"/>
      <c r="N6" s="242"/>
    </row>
    <row r="7" spans="1:228" ht="12.75">
      <c r="A7" s="236">
        <v>12120</v>
      </c>
      <c r="B7" s="259" t="s">
        <v>59</v>
      </c>
      <c r="C7" s="238">
        <v>9169293.55</v>
      </c>
      <c r="D7" s="238">
        <v>93772.57</v>
      </c>
      <c r="E7" s="260">
        <f>+'[3]TB12-31-01(A)'!G16+'[3]TB12-31-01(A)'!G22</f>
        <v>12191835.46</v>
      </c>
      <c r="F7" s="261">
        <f>+'[1]TB06-30-03(Final)'!G23+'[1]TB06-30-03(Final)'!G16</f>
        <v>7815717.66</v>
      </c>
      <c r="G7" s="262">
        <f>-E7+F7</f>
        <v>-4376117.800000001</v>
      </c>
      <c r="H7" s="242"/>
      <c r="I7" s="242"/>
      <c r="J7" s="242"/>
      <c r="K7" s="242"/>
      <c r="L7" s="242"/>
      <c r="M7" s="242">
        <f>+G7</f>
        <v>-4376117.800000001</v>
      </c>
      <c r="N7" s="242"/>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row>
    <row r="8" spans="1:228" s="265" customFormat="1" ht="12.75">
      <c r="A8" s="264" t="s">
        <v>60</v>
      </c>
      <c r="C8" s="266"/>
      <c r="D8" s="266"/>
      <c r="E8" s="260"/>
      <c r="F8" s="261"/>
      <c r="G8" s="262"/>
      <c r="H8" s="267"/>
      <c r="I8" s="267"/>
      <c r="J8" s="267"/>
      <c r="K8" s="267"/>
      <c r="L8" s="267"/>
      <c r="M8" s="267"/>
      <c r="N8" s="267"/>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c r="HJ8" s="268"/>
      <c r="HK8" s="268"/>
      <c r="HL8" s="268"/>
      <c r="HM8" s="268"/>
      <c r="HN8" s="268"/>
      <c r="HO8" s="268"/>
      <c r="HP8" s="268"/>
      <c r="HQ8" s="268"/>
      <c r="HR8" s="268"/>
      <c r="HS8" s="268"/>
      <c r="HT8" s="268"/>
    </row>
    <row r="9" spans="1:228" ht="12.75">
      <c r="A9" s="236" t="s">
        <v>61</v>
      </c>
      <c r="B9" s="269" t="s">
        <v>62</v>
      </c>
      <c r="C9" s="238">
        <v>-190570.97</v>
      </c>
      <c r="D9" s="238">
        <v>0</v>
      </c>
      <c r="E9" s="260">
        <f>+'[3]TB12-31-01(A)'!F233+'[3]TB12-31-01(A)'!F235</f>
        <v>-43099.52</v>
      </c>
      <c r="F9" s="261">
        <f>+'[1]TB06-30-03(Final)'!F250+'[1]TB06-30-03(Final)'!F252</f>
        <v>-96006.3</v>
      </c>
      <c r="G9" s="262">
        <f>-E9+F9</f>
        <v>-52906.780000000006</v>
      </c>
      <c r="H9" s="242"/>
      <c r="I9" s="242"/>
      <c r="J9" s="242"/>
      <c r="K9" s="242"/>
      <c r="L9" s="242"/>
      <c r="M9" s="242"/>
      <c r="N9" s="242"/>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row>
    <row r="10" spans="1:228" ht="12.75">
      <c r="A10" s="236" t="s">
        <v>63</v>
      </c>
      <c r="B10" s="269" t="s">
        <v>64</v>
      </c>
      <c r="C10" s="238">
        <v>-55530</v>
      </c>
      <c r="D10" s="238">
        <v>-11472.54</v>
      </c>
      <c r="E10" s="260">
        <f>+'[3]TB12-31-01(A)'!F231</f>
        <v>-23699.49</v>
      </c>
      <c r="F10" s="261">
        <f>+'[1]TB06-30-03(Final)'!F248</f>
        <v>-59861.75</v>
      </c>
      <c r="G10" s="262">
        <f>-E10+F10</f>
        <v>-36162.259999999995</v>
      </c>
      <c r="H10" s="242"/>
      <c r="I10" s="242"/>
      <c r="J10" s="242"/>
      <c r="K10" s="242"/>
      <c r="L10" s="242"/>
      <c r="M10" s="242"/>
      <c r="N10" s="242"/>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row>
    <row r="11" spans="1:228" ht="12.75">
      <c r="A11" s="236">
        <v>29235</v>
      </c>
      <c r="B11" s="269" t="s">
        <v>65</v>
      </c>
      <c r="C11" s="238">
        <v>-988.8</v>
      </c>
      <c r="D11" s="238">
        <v>0</v>
      </c>
      <c r="E11" s="260">
        <f>+'[3]TB12-31-01(A)'!F234</f>
        <v>-7416.9</v>
      </c>
      <c r="F11" s="261">
        <v>0</v>
      </c>
      <c r="G11" s="262">
        <f>-E11+F11</f>
        <v>7416.9</v>
      </c>
      <c r="H11" s="242"/>
      <c r="I11" s="242">
        <f>SUM(G9:G11)</f>
        <v>-81652.14000000001</v>
      </c>
      <c r="J11" s="242"/>
      <c r="K11" s="242"/>
      <c r="L11" s="242"/>
      <c r="M11" s="242"/>
      <c r="N11" s="242"/>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row>
    <row r="12" spans="2:228" ht="12.75">
      <c r="B12" s="270"/>
      <c r="C12" s="270"/>
      <c r="D12" s="238"/>
      <c r="E12" s="260"/>
      <c r="F12" s="261"/>
      <c r="G12" s="262"/>
      <c r="H12" s="242"/>
      <c r="I12" s="242"/>
      <c r="J12" s="242"/>
      <c r="K12" s="242"/>
      <c r="L12" s="242"/>
      <c r="M12" s="242"/>
      <c r="N12" s="242"/>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row>
    <row r="13" spans="1:14" ht="12.75">
      <c r="A13" s="236">
        <v>12150</v>
      </c>
      <c r="B13" s="270" t="s">
        <v>66</v>
      </c>
      <c r="C13" s="238">
        <v>108734.46</v>
      </c>
      <c r="D13" s="238">
        <v>3298.12</v>
      </c>
      <c r="E13" s="260">
        <f>+'[3]TB12-31-01(A)'!G25</f>
        <v>10919.7</v>
      </c>
      <c r="F13" s="261">
        <f>+'[1]TB06-30-03(Final)'!F24</f>
        <v>11315.82</v>
      </c>
      <c r="G13" s="262">
        <f>-E13+F13</f>
        <v>396.119999999999</v>
      </c>
      <c r="H13" s="242"/>
      <c r="I13" s="242"/>
      <c r="J13" s="242"/>
      <c r="K13" s="242"/>
      <c r="L13" s="242">
        <f>G13</f>
        <v>396.119999999999</v>
      </c>
      <c r="M13" s="242"/>
      <c r="N13" s="242"/>
    </row>
    <row r="14" spans="2:14" ht="12.75">
      <c r="B14" s="238"/>
      <c r="C14" s="238"/>
      <c r="D14" s="238"/>
      <c r="E14" s="260"/>
      <c r="F14" s="261"/>
      <c r="G14" s="262" t="s">
        <v>187</v>
      </c>
      <c r="H14" s="242"/>
      <c r="I14" s="242"/>
      <c r="J14" s="242"/>
      <c r="K14" s="242"/>
      <c r="L14" s="242"/>
      <c r="M14" s="242"/>
      <c r="N14" s="242"/>
    </row>
    <row r="15" spans="1:14" ht="12.75">
      <c r="A15" s="264" t="s">
        <v>67</v>
      </c>
      <c r="C15" s="238"/>
      <c r="D15" s="238"/>
      <c r="E15" s="260"/>
      <c r="F15" s="261"/>
      <c r="G15" s="262" t="s">
        <v>187</v>
      </c>
      <c r="H15" s="242"/>
      <c r="I15" s="242"/>
      <c r="J15" s="242"/>
      <c r="K15" s="242"/>
      <c r="L15" s="242"/>
      <c r="M15" s="242"/>
      <c r="N15" s="242"/>
    </row>
    <row r="16" spans="1:14" ht="12.75">
      <c r="A16" s="236" t="s">
        <v>68</v>
      </c>
      <c r="B16" s="270" t="s">
        <v>69</v>
      </c>
      <c r="C16" s="238">
        <f>-405802.34</f>
        <v>-405802.34</v>
      </c>
      <c r="D16" s="238">
        <v>405802</v>
      </c>
      <c r="E16" s="260">
        <f>+'[3]TB12-31-01(A)'!G33</f>
        <v>11390.23</v>
      </c>
      <c r="F16" s="261">
        <f>+'[1]TB06-30-03(Final)'!G36</f>
        <v>2971.29</v>
      </c>
      <c r="G16" s="262">
        <f>-E16+F16</f>
        <v>-8418.939999999999</v>
      </c>
      <c r="H16" s="242"/>
      <c r="I16" s="242"/>
      <c r="J16" s="242"/>
      <c r="K16" s="242">
        <f>+G16</f>
        <v>-8418.939999999999</v>
      </c>
      <c r="L16" s="242"/>
      <c r="M16" s="242"/>
      <c r="N16" s="242"/>
    </row>
    <row r="17" spans="1:14" ht="12.75">
      <c r="A17" s="236" t="s">
        <v>70</v>
      </c>
      <c r="B17" s="238" t="s">
        <v>25</v>
      </c>
      <c r="C17" s="238">
        <v>68646.44</v>
      </c>
      <c r="D17" s="238">
        <v>0</v>
      </c>
      <c r="E17" s="260">
        <f>+'[3]TB12-31-01(A)'!G53</f>
        <v>46619.55000000002</v>
      </c>
      <c r="F17" s="261">
        <f>+'[1]TB06-30-03(Final)'!F41+'[1]TB06-30-03(Final)'!F42</f>
        <v>59251.36</v>
      </c>
      <c r="G17" s="262">
        <f>-E17+F17</f>
        <v>12631.809999999983</v>
      </c>
      <c r="H17" s="242"/>
      <c r="I17" s="242"/>
      <c r="J17" s="242"/>
      <c r="K17" s="242">
        <f>G17</f>
        <v>12631.809999999983</v>
      </c>
      <c r="L17" s="242"/>
      <c r="M17" s="242"/>
      <c r="N17" s="242"/>
    </row>
    <row r="18" spans="1:14" ht="12.75">
      <c r="A18" s="264" t="s">
        <v>71</v>
      </c>
      <c r="C18" s="238"/>
      <c r="D18" s="238"/>
      <c r="E18" s="260"/>
      <c r="F18" s="261"/>
      <c r="G18" s="262"/>
      <c r="H18" s="242"/>
      <c r="I18" s="242"/>
      <c r="J18" s="242"/>
      <c r="K18" s="242"/>
      <c r="L18" s="242"/>
      <c r="M18" s="242"/>
      <c r="N18" s="242"/>
    </row>
    <row r="19" spans="1:14" ht="12.75">
      <c r="A19" s="236" t="s">
        <v>72</v>
      </c>
      <c r="B19" s="238" t="s">
        <v>73</v>
      </c>
      <c r="C19" s="238">
        <f>-10779129.28+30843+17067</f>
        <v>-10731219.28</v>
      </c>
      <c r="D19" s="238">
        <f>8764-5500-17327.9-74-16458-247</f>
        <v>-30842.9</v>
      </c>
      <c r="E19" s="260">
        <f>+'[3]TB12-31-01(A)'!G111</f>
        <v>-6146418.700000001</v>
      </c>
      <c r="F19" s="261">
        <f>+'[1]TB06-30-03(Final)'!G115</f>
        <v>-5697722.210000001</v>
      </c>
      <c r="G19" s="262">
        <f>-E19+F19</f>
        <v>448696.4900000002</v>
      </c>
      <c r="H19" s="242"/>
      <c r="I19" s="242"/>
      <c r="J19" s="242">
        <f>G19</f>
        <v>448696.4900000002</v>
      </c>
      <c r="K19" s="242"/>
      <c r="L19" s="242"/>
      <c r="M19" s="242"/>
      <c r="N19" s="242"/>
    </row>
    <row r="20" spans="1:14" ht="12.75">
      <c r="A20" s="236">
        <v>25200</v>
      </c>
      <c r="B20" s="270" t="s">
        <v>74</v>
      </c>
      <c r="C20" s="238">
        <v>-21178.89</v>
      </c>
      <c r="D20" s="238">
        <v>0</v>
      </c>
      <c r="E20" s="260">
        <f>+'[3]TB12-31-01(A)'!F173</f>
        <v>0</v>
      </c>
      <c r="F20" s="261">
        <f>+'[1]TB06-30-03(Final)'!F186</f>
        <v>-28280.339999999997</v>
      </c>
      <c r="G20" s="262">
        <f>-E20+F20</f>
        <v>-28280.339999999997</v>
      </c>
      <c r="H20" s="242"/>
      <c r="I20" s="242"/>
      <c r="J20" s="267">
        <f>G20</f>
        <v>-28280.339999999997</v>
      </c>
      <c r="K20" s="242"/>
      <c r="L20" s="242"/>
      <c r="M20" s="242"/>
      <c r="N20" s="242"/>
    </row>
    <row r="21" spans="1:14" ht="12.75">
      <c r="A21" s="236" t="s">
        <v>75</v>
      </c>
      <c r="B21" s="238" t="s">
        <v>76</v>
      </c>
      <c r="C21" s="238">
        <v>0</v>
      </c>
      <c r="D21" s="238">
        <f>-1149-6966-51-100-2364-8244+1807</f>
        <v>-17067</v>
      </c>
      <c r="E21" s="260">
        <f>+'[3]TB12-31-01(A)'!G167</f>
        <v>-556689.1599999999</v>
      </c>
      <c r="F21" s="261">
        <f>+'[1]TB06-30-03(Final)'!G179</f>
        <v>-474063.79</v>
      </c>
      <c r="G21" s="262">
        <f>-E21+F21</f>
        <v>82625.36999999994</v>
      </c>
      <c r="H21" s="242"/>
      <c r="I21" s="242"/>
      <c r="J21" s="242">
        <f>G21</f>
        <v>82625.36999999994</v>
      </c>
      <c r="K21" s="242"/>
      <c r="L21" s="242"/>
      <c r="M21" s="242"/>
      <c r="N21" s="242"/>
    </row>
    <row r="22" spans="1:14" ht="12.75">
      <c r="A22" s="236">
        <v>25100</v>
      </c>
      <c r="B22" s="238" t="s">
        <v>77</v>
      </c>
      <c r="C22" s="238">
        <v>-2890.78</v>
      </c>
      <c r="D22" s="238">
        <v>0</v>
      </c>
      <c r="E22" s="260">
        <f>+'[3]TB12-31-01(A)'!F173</f>
        <v>0</v>
      </c>
      <c r="F22" s="261">
        <f>+'[1]TB06-30-03(Final)'!F185</f>
        <v>-4995.76</v>
      </c>
      <c r="G22" s="262">
        <f>-E22+F22</f>
        <v>-4995.76</v>
      </c>
      <c r="H22" s="242"/>
      <c r="I22" s="242"/>
      <c r="J22" s="267">
        <f>G22</f>
        <v>-4995.76</v>
      </c>
      <c r="K22" s="242"/>
      <c r="L22" s="242"/>
      <c r="M22" s="242"/>
      <c r="N22" s="242"/>
    </row>
    <row r="23" spans="2:14" ht="12.75" hidden="1">
      <c r="B23" s="238" t="s">
        <v>78</v>
      </c>
      <c r="C23" s="238">
        <v>0</v>
      </c>
      <c r="D23" s="238">
        <v>0</v>
      </c>
      <c r="E23" s="239"/>
      <c r="F23" s="257"/>
      <c r="G23" s="262">
        <f>-E23+F23-1</f>
        <v>-1</v>
      </c>
      <c r="H23" s="242"/>
      <c r="I23" s="242"/>
      <c r="J23" s="242"/>
      <c r="K23" s="242">
        <f>G23</f>
        <v>-1</v>
      </c>
      <c r="L23" s="242"/>
      <c r="M23" s="242"/>
      <c r="N23" s="242"/>
    </row>
    <row r="24" spans="1:14" ht="12.75">
      <c r="A24" s="236" t="s">
        <v>79</v>
      </c>
      <c r="B24" s="238" t="s">
        <v>80</v>
      </c>
      <c r="C24" s="238">
        <f>-365907-440984-293247</f>
        <v>-1100138</v>
      </c>
      <c r="D24" s="238">
        <v>-282.85</v>
      </c>
      <c r="E24" s="260">
        <f>+'[3]TB12-31-01(A)'!G187+'[3]TB12-31-01(A)'!G200+'[3]TB12-31-01(A)'!G220+'[3]TB12-31-01(A)'!G222</f>
        <v>-2100421.55</v>
      </c>
      <c r="F24" s="261">
        <f>+'[1]TB06-30-03(Final)'!G243</f>
        <v>0</v>
      </c>
      <c r="G24" s="262">
        <f>-E24+F24</f>
        <v>2100421.55</v>
      </c>
      <c r="H24" s="242"/>
      <c r="I24" s="242"/>
      <c r="J24" s="242"/>
      <c r="K24" s="242">
        <f>G24</f>
        <v>2100421.55</v>
      </c>
      <c r="L24" s="242"/>
      <c r="M24" s="242"/>
      <c r="N24" s="242"/>
    </row>
    <row r="25" spans="2:14" ht="12.75" hidden="1">
      <c r="B25" s="238" t="s">
        <v>81</v>
      </c>
      <c r="C25" s="238"/>
      <c r="D25" s="238"/>
      <c r="E25" s="239"/>
      <c r="F25" s="257"/>
      <c r="G25" s="262">
        <f>-E25+F25-1</f>
        <v>-1</v>
      </c>
      <c r="H25" s="242"/>
      <c r="I25" s="242"/>
      <c r="J25" s="242"/>
      <c r="K25" s="242"/>
      <c r="L25" s="242"/>
      <c r="M25" s="242"/>
      <c r="N25" s="242"/>
    </row>
    <row r="26" spans="1:14" ht="12.75">
      <c r="A26" s="236">
        <v>24000</v>
      </c>
      <c r="B26" s="238" t="s">
        <v>82</v>
      </c>
      <c r="C26" s="238">
        <v>-65000</v>
      </c>
      <c r="D26" s="238">
        <v>-2863.09</v>
      </c>
      <c r="E26" s="260">
        <f>+'[3]TB12-31-01(A)'!G170</f>
        <v>-44400</v>
      </c>
      <c r="F26" s="261">
        <f>+'[1]TB06-30-03(Final)'!F181</f>
        <v>-22966</v>
      </c>
      <c r="G26" s="262">
        <f>-E26+F26</f>
        <v>21434</v>
      </c>
      <c r="H26" s="242"/>
      <c r="I26" s="242"/>
      <c r="J26" s="242"/>
      <c r="K26" s="242">
        <f>G26</f>
        <v>21434</v>
      </c>
      <c r="L26" s="242"/>
      <c r="M26" s="242"/>
      <c r="N26" s="242"/>
    </row>
    <row r="27" spans="1:14" ht="12.75">
      <c r="A27" s="236">
        <v>21000</v>
      </c>
      <c r="B27" s="238" t="s">
        <v>83</v>
      </c>
      <c r="C27" s="238">
        <f>-7555422-263383-3714468-138071</f>
        <v>-11671344</v>
      </c>
      <c r="D27" s="238">
        <f>-109734-3298</f>
        <v>-113032</v>
      </c>
      <c r="E27" s="260">
        <f>+'[3]TB12-31-01(A)'!G66</f>
        <v>-8315559</v>
      </c>
      <c r="F27" s="261">
        <f>+'[1]TB06-30-03(Final)'!G61</f>
        <v>0</v>
      </c>
      <c r="G27" s="262">
        <f>-E27+F27</f>
        <v>8315559</v>
      </c>
      <c r="H27" s="242"/>
      <c r="I27" s="242">
        <f>+G27</f>
        <v>8315559</v>
      </c>
      <c r="J27" s="242"/>
      <c r="K27" s="267"/>
      <c r="L27" s="242"/>
      <c r="M27" s="242"/>
      <c r="N27" s="242"/>
    </row>
    <row r="28" spans="1:14" ht="12.75">
      <c r="A28" s="236">
        <v>28500</v>
      </c>
      <c r="B28" s="270" t="s">
        <v>171</v>
      </c>
      <c r="C28" s="238"/>
      <c r="D28" s="238"/>
      <c r="E28" s="260">
        <f>+'[3]TB12-31-01(A)'!G229</f>
        <v>-240240</v>
      </c>
      <c r="F28" s="261">
        <f>+'[1]TB06-30-03(Final)'!G247</f>
        <v>-356948</v>
      </c>
      <c r="G28" s="262">
        <f>-E28+F28</f>
        <v>-116708</v>
      </c>
      <c r="H28" s="242"/>
      <c r="I28" s="242">
        <f>+G28</f>
        <v>-116708</v>
      </c>
      <c r="J28" s="242"/>
      <c r="K28" s="267"/>
      <c r="L28" s="242"/>
      <c r="M28" s="242"/>
      <c r="N28" s="242"/>
    </row>
    <row r="29" spans="1:14" ht="12.75">
      <c r="A29" s="271" t="s">
        <v>84</v>
      </c>
      <c r="B29" s="238"/>
      <c r="C29" s="238"/>
      <c r="D29" s="238"/>
      <c r="E29" s="239"/>
      <c r="F29" s="257"/>
      <c r="G29" s="262"/>
      <c r="H29" s="242"/>
      <c r="I29" s="242"/>
      <c r="J29" s="242"/>
      <c r="K29" s="242"/>
      <c r="L29" s="242"/>
      <c r="M29" s="242"/>
      <c r="N29" s="242"/>
    </row>
    <row r="30" spans="1:14" ht="12.75">
      <c r="A30" s="236">
        <v>13200</v>
      </c>
      <c r="B30" s="270" t="s">
        <v>26</v>
      </c>
      <c r="C30" s="238"/>
      <c r="D30" s="238"/>
      <c r="E30" s="260">
        <v>0</v>
      </c>
      <c r="F30" s="261">
        <v>42501</v>
      </c>
      <c r="G30" s="262">
        <f>-E30+F30</f>
        <v>42501</v>
      </c>
      <c r="H30" s="242">
        <f>+G30</f>
        <v>42501</v>
      </c>
      <c r="I30" s="242"/>
      <c r="J30" s="242"/>
      <c r="K30" s="242">
        <v>0</v>
      </c>
      <c r="L30" s="242"/>
      <c r="M30" s="242"/>
      <c r="N30" s="242"/>
    </row>
    <row r="31" spans="1:14" ht="12.75">
      <c r="A31" s="236">
        <v>32000</v>
      </c>
      <c r="B31" s="270" t="s">
        <v>85</v>
      </c>
      <c r="C31" s="238">
        <v>-64505.8</v>
      </c>
      <c r="D31" s="238"/>
      <c r="E31" s="260">
        <f>+'[3]TB12-31-01(A)'!F241</f>
        <v>63918.22</v>
      </c>
      <c r="F31" s="261">
        <f>+'[1]TB06-30-03(Final)'!F258</f>
        <v>-65397.19</v>
      </c>
      <c r="G31" s="262">
        <f>-E31+F31</f>
        <v>-129315.41</v>
      </c>
      <c r="H31" s="242">
        <f>+G31</f>
        <v>-129315.41</v>
      </c>
      <c r="I31" s="242"/>
      <c r="J31" s="242"/>
      <c r="K31" s="242"/>
      <c r="L31" s="242"/>
      <c r="M31" s="242"/>
      <c r="N31" s="242"/>
    </row>
    <row r="32" spans="1:14" ht="12.75">
      <c r="A32" s="236">
        <v>34000</v>
      </c>
      <c r="B32" s="270" t="s">
        <v>86</v>
      </c>
      <c r="C32" s="270">
        <v>-11867367.35</v>
      </c>
      <c r="D32" s="238"/>
      <c r="E32" s="260">
        <f>+'[3]TB12-31-01(A)'!F255</f>
        <v>-36085826.63</v>
      </c>
      <c r="F32" s="261">
        <f>+'[1]TB06-30-03(Final)'!G269</f>
        <v>0</v>
      </c>
      <c r="G32" s="262">
        <f>-E32+F32</f>
        <v>36085826.63</v>
      </c>
      <c r="H32" s="242">
        <f>+G32</f>
        <v>36085826.63</v>
      </c>
      <c r="I32" s="242"/>
      <c r="J32" s="242"/>
      <c r="K32" s="242"/>
      <c r="L32" s="242"/>
      <c r="M32" s="242"/>
      <c r="N32" s="242"/>
    </row>
    <row r="33" spans="1:14" s="273" customFormat="1" ht="12.75">
      <c r="A33" s="272" t="s">
        <v>87</v>
      </c>
      <c r="B33" s="259" t="s">
        <v>88</v>
      </c>
      <c r="C33" s="259">
        <f>30255406.87+824731+61077+515806-3808639-5294150-1218298</f>
        <v>21335933.87</v>
      </c>
      <c r="D33" s="259">
        <v>-256245.49</v>
      </c>
      <c r="E33" s="260">
        <f>+'[3]TB12-31-01(A)'!G242+'[3]TB12-31-01(A)'!G249+'[3]TB12-31-01(A)'!G254-'[3]TB12-31-01(A)'!F241</f>
        <v>37523164.230000004</v>
      </c>
      <c r="F33" s="261" t="e">
        <f>+'[1]TB06-30-03(Final)'!G259+'[1]TB06-30-03(Final)'!#REF!+'[1]TB06-30-03(Final)'!#REF!-'[1]TB06-30-03(Final)'!F258</f>
        <v>#REF!</v>
      </c>
      <c r="G33" s="262" t="e">
        <f>-E33+F33</f>
        <v>#REF!</v>
      </c>
      <c r="H33" s="242"/>
      <c r="I33" s="242"/>
      <c r="J33" s="242"/>
      <c r="K33" s="242"/>
      <c r="L33" s="242"/>
      <c r="M33" s="242"/>
      <c r="N33" s="242"/>
    </row>
    <row r="34" spans="2:14" ht="12.75">
      <c r="B34" s="274"/>
      <c r="C34" s="238"/>
      <c r="D34" s="238"/>
      <c r="E34" s="239"/>
      <c r="F34" s="257"/>
      <c r="G34" s="262"/>
      <c r="H34" s="242"/>
      <c r="I34" s="242"/>
      <c r="J34" s="242"/>
      <c r="K34" s="242"/>
      <c r="L34" s="242"/>
      <c r="M34" s="242"/>
      <c r="N34" s="242"/>
    </row>
    <row r="35" spans="1:14" s="265" customFormat="1" ht="13.5" thickBot="1">
      <c r="A35" s="275" t="s">
        <v>89</v>
      </c>
      <c r="B35" s="266" t="s">
        <v>90</v>
      </c>
      <c r="C35" s="266">
        <f>SUM(C7:C33)</f>
        <v>-5493927.889999997</v>
      </c>
      <c r="D35" s="266">
        <f>SUM(D7:D33)</f>
        <v>71066.82</v>
      </c>
      <c r="E35" s="312">
        <f>SUM(E6:E34)</f>
        <v>-3715923.5600000024</v>
      </c>
      <c r="F35" s="313" t="e">
        <f>SUM(F6:F34)</f>
        <v>#REF!</v>
      </c>
      <c r="G35" s="314" t="e">
        <f>SUM(G7:G34)</f>
        <v>#REF!</v>
      </c>
      <c r="H35" s="267"/>
      <c r="I35" s="267"/>
      <c r="J35" s="267"/>
      <c r="K35" s="267"/>
      <c r="L35" s="267"/>
      <c r="M35" s="267"/>
      <c r="N35" s="267"/>
    </row>
    <row r="36" spans="1:14" s="265" customFormat="1" ht="13.5" thickBot="1">
      <c r="A36" s="266" t="s">
        <v>116</v>
      </c>
      <c r="C36" s="276">
        <f>C33+C30-C35+C31+C32</f>
        <v>14897988.609999998</v>
      </c>
      <c r="D36" s="276">
        <f>D33+D30-D35+D31</f>
        <v>-327312.31</v>
      </c>
      <c r="E36" s="277">
        <f>-'[4](10)Income Statement'!$E$37+2</f>
        <v>5217178.914600432</v>
      </c>
      <c r="F36" s="278">
        <f>+'Income Statement-p2'!E35</f>
        <v>-1768815.62</v>
      </c>
      <c r="G36" s="279">
        <f>+E36-F36</f>
        <v>6985994.534600432</v>
      </c>
      <c r="H36" s="280"/>
      <c r="I36" s="281"/>
      <c r="J36" s="267"/>
      <c r="K36" s="267"/>
      <c r="L36" s="267"/>
      <c r="M36" s="267"/>
      <c r="N36" s="267"/>
    </row>
    <row r="37" spans="1:14" ht="13.5" thickBot="1">
      <c r="A37" s="282" t="s">
        <v>111</v>
      </c>
      <c r="C37" s="238"/>
      <c r="D37" s="283"/>
      <c r="E37" s="284">
        <f>-'[3]Operations3'!G42</f>
        <v>5217178.944170429</v>
      </c>
      <c r="F37" s="285">
        <f>-'Equity YTD-p4'!G54</f>
        <v>1768815.6199999936</v>
      </c>
      <c r="G37" s="286">
        <f>-E37-F37</f>
        <v>-6985994.564170423</v>
      </c>
      <c r="H37" s="242"/>
      <c r="I37" s="242"/>
      <c r="J37" s="242"/>
      <c r="K37" s="242"/>
      <c r="L37" s="242"/>
      <c r="M37" s="242"/>
      <c r="N37" s="242"/>
    </row>
    <row r="38" spans="2:14" ht="13.5" hidden="1" thickBot="1">
      <c r="B38" s="238"/>
      <c r="C38" s="238"/>
      <c r="D38" s="238"/>
      <c r="E38" s="239" t="s">
        <v>187</v>
      </c>
      <c r="F38" s="240" t="s">
        <v>187</v>
      </c>
      <c r="G38" s="287" t="e">
        <f>E38-F38</f>
        <v>#VALUE!</v>
      </c>
      <c r="H38" s="242"/>
      <c r="I38" s="242"/>
      <c r="J38" s="242"/>
      <c r="K38" s="242"/>
      <c r="L38" s="242"/>
      <c r="M38" s="242"/>
      <c r="N38" s="242"/>
    </row>
    <row r="39" spans="2:14" ht="12.75">
      <c r="B39" s="238"/>
      <c r="C39" s="238"/>
      <c r="D39" s="238"/>
      <c r="E39" s="316">
        <v>2002</v>
      </c>
      <c r="F39" s="240" t="e">
        <f>+F35-F36</f>
        <v>#REF!</v>
      </c>
      <c r="G39" s="317">
        <f>+G36+G37</f>
        <v>-0.029569990932941437</v>
      </c>
      <c r="H39" s="242"/>
      <c r="I39" s="242"/>
      <c r="J39" s="242"/>
      <c r="K39" s="242"/>
      <c r="L39" s="242"/>
      <c r="M39" s="242"/>
      <c r="N39" s="242"/>
    </row>
    <row r="40" spans="1:14" ht="12.75">
      <c r="A40" s="236">
        <v>41000</v>
      </c>
      <c r="B40" s="238" t="s">
        <v>243</v>
      </c>
      <c r="C40" s="238">
        <v>-25340954.32</v>
      </c>
      <c r="D40" s="238">
        <v>-222277.35</v>
      </c>
      <c r="E40" s="239">
        <f>+'[1]TB06-30-03(Final)'!G297</f>
        <v>-10221860</v>
      </c>
      <c r="F40" s="240"/>
      <c r="G40" s="262"/>
      <c r="H40" s="242"/>
      <c r="I40" s="242">
        <f>+E40</f>
        <v>-10221860</v>
      </c>
      <c r="J40" s="242"/>
      <c r="K40" s="242"/>
      <c r="L40" s="242"/>
      <c r="M40" s="242"/>
      <c r="N40" s="242"/>
    </row>
    <row r="41" spans="1:14" ht="12.75">
      <c r="A41" s="236">
        <v>41100</v>
      </c>
      <c r="B41" s="238" t="s">
        <v>91</v>
      </c>
      <c r="C41" s="238">
        <f>-6853826+7555422+263383-3362932+3714468+138071</f>
        <v>1454586</v>
      </c>
      <c r="D41" s="238">
        <f>-122993+109734+3298</f>
        <v>-9961</v>
      </c>
      <c r="E41" s="239">
        <f>+'[1]TB06-30-03(Final)'!G314</f>
        <v>1146561</v>
      </c>
      <c r="F41" s="240"/>
      <c r="G41" s="262"/>
      <c r="H41" s="242"/>
      <c r="I41" s="242">
        <f>+E41</f>
        <v>1146561</v>
      </c>
      <c r="J41" s="242"/>
      <c r="K41" s="242"/>
      <c r="L41" s="242"/>
      <c r="M41" s="242"/>
      <c r="N41" s="242"/>
    </row>
    <row r="42" spans="1:14" ht="12.75">
      <c r="A42" s="236">
        <v>51100</v>
      </c>
      <c r="B42" s="238" t="s">
        <v>92</v>
      </c>
      <c r="C42" s="238">
        <v>21993234</v>
      </c>
      <c r="D42" s="238">
        <f>7064.38+43245.59+12054.32</f>
        <v>62364.28999999999</v>
      </c>
      <c r="E42" s="239">
        <f>+'[1]TB06-30-03(Final)'!G357</f>
        <v>0</v>
      </c>
      <c r="F42" s="240"/>
      <c r="G42" s="262"/>
      <c r="H42" s="242"/>
      <c r="I42" s="242"/>
      <c r="J42" s="242">
        <f>E42</f>
        <v>0</v>
      </c>
      <c r="K42" s="242"/>
      <c r="L42" s="242"/>
      <c r="M42" s="242"/>
      <c r="N42" s="242"/>
    </row>
    <row r="43" spans="1:14" ht="12.75">
      <c r="A43" s="236">
        <v>51200</v>
      </c>
      <c r="B43" s="238" t="s">
        <v>93</v>
      </c>
      <c r="C43" s="238">
        <v>1822291.72</v>
      </c>
      <c r="D43" s="238">
        <f>1708.45+7443.93+3705.34</f>
        <v>12857.720000000001</v>
      </c>
      <c r="E43" s="239">
        <f>+'[1]TB06-30-03(Final)'!G455</f>
        <v>571547.5499999999</v>
      </c>
      <c r="F43" s="240"/>
      <c r="G43" s="262"/>
      <c r="H43" s="242"/>
      <c r="I43" s="242"/>
      <c r="J43" s="242">
        <f>E43</f>
        <v>571547.5499999999</v>
      </c>
      <c r="K43" s="242"/>
      <c r="L43" s="242"/>
      <c r="M43" s="242"/>
      <c r="N43" s="242"/>
    </row>
    <row r="44" spans="1:14" ht="12.75">
      <c r="A44" s="236">
        <v>51300</v>
      </c>
      <c r="B44" s="238" t="s">
        <v>94</v>
      </c>
      <c r="C44" s="266">
        <v>587042</v>
      </c>
      <c r="D44" s="238">
        <v>7208</v>
      </c>
      <c r="E44" s="239">
        <f>+'[1]TB06-30-03(Final)'!G497</f>
        <v>241058.48999999996</v>
      </c>
      <c r="F44" s="240"/>
      <c r="G44" s="262"/>
      <c r="H44" s="242"/>
      <c r="I44" s="242"/>
      <c r="J44" s="242">
        <f>E44</f>
        <v>241058.48999999996</v>
      </c>
      <c r="K44" s="242"/>
      <c r="L44" s="242"/>
      <c r="M44" s="242"/>
      <c r="N44" s="242"/>
    </row>
    <row r="45" spans="1:14" ht="12.75">
      <c r="A45" s="236">
        <v>51130</v>
      </c>
      <c r="B45" s="270" t="s">
        <v>95</v>
      </c>
      <c r="C45" s="238">
        <v>-528744</v>
      </c>
      <c r="D45" s="238">
        <v>0</v>
      </c>
      <c r="E45" s="239">
        <f>+'[1]TB06-30-03(Final)'!G376</f>
        <v>-53668.880000000005</v>
      </c>
      <c r="F45" s="240"/>
      <c r="G45" s="262"/>
      <c r="H45" s="242"/>
      <c r="I45" s="242"/>
      <c r="J45" s="242">
        <f>E45</f>
        <v>-53668.880000000005</v>
      </c>
      <c r="K45" s="242"/>
      <c r="L45" s="242"/>
      <c r="M45" s="242"/>
      <c r="N45" s="242"/>
    </row>
    <row r="46" spans="1:14" ht="12.75">
      <c r="A46" s="236" t="s">
        <v>114</v>
      </c>
      <c r="B46" s="238" t="s">
        <v>96</v>
      </c>
      <c r="C46" s="269">
        <f>-400062+54830</f>
        <v>-345232</v>
      </c>
      <c r="D46" s="238">
        <f>-14500-400+17328-3823-14324+16458+247-3643-2749+6966+51+8244</f>
        <v>9855</v>
      </c>
      <c r="E46" s="239">
        <f>+'[1]TB06-30-03(Final)'!G429+'[1]TB06-30-03(Final)'!G477+'[1]TB06-30-03(Final)'!G517-2</f>
        <v>109470.06999999985</v>
      </c>
      <c r="F46" s="240"/>
      <c r="G46" s="262"/>
      <c r="H46" s="242"/>
      <c r="I46" s="242"/>
      <c r="J46" s="242">
        <f>E46</f>
        <v>109470.06999999985</v>
      </c>
      <c r="K46" s="242"/>
      <c r="L46" s="242"/>
      <c r="M46" s="242"/>
      <c r="N46" s="242"/>
    </row>
    <row r="47" spans="1:14" ht="12.75">
      <c r="A47" s="236" t="s">
        <v>115</v>
      </c>
      <c r="B47" s="238" t="s">
        <v>97</v>
      </c>
      <c r="C47" s="238">
        <f>4908824.05-587042-65000+6991.21</f>
        <v>4263773.26</v>
      </c>
      <c r="D47" s="238">
        <v>56632</v>
      </c>
      <c r="E47" s="288">
        <f>+'Earned Incurred YTD-p6'!C38+'Earned Incurred YTD-p6'!C39+'Earned Incurred YTD-p6'!C43-CashFlow!E50-CashFlow!E51</f>
        <v>3166891.459999998</v>
      </c>
      <c r="F47" s="289"/>
      <c r="G47" s="290"/>
      <c r="H47" s="242"/>
      <c r="I47" s="242"/>
      <c r="J47" s="242"/>
      <c r="K47" s="242">
        <f>E47</f>
        <v>3166891.459999998</v>
      </c>
      <c r="L47" s="242"/>
      <c r="M47" s="242"/>
      <c r="N47" s="242"/>
    </row>
    <row r="48" spans="1:14" ht="12.75">
      <c r="A48" s="236" t="s">
        <v>112</v>
      </c>
      <c r="B48" s="238" t="s">
        <v>98</v>
      </c>
      <c r="C48" s="238">
        <v>2392335</v>
      </c>
      <c r="D48" s="238">
        <f>7452-15+188.5+24894.2+329.8-672.25</f>
        <v>32177.25</v>
      </c>
      <c r="E48" s="239">
        <f>+'[1]TB06-30-03(Final)'!G564</f>
        <v>918359.2999999999</v>
      </c>
      <c r="F48" s="240"/>
      <c r="G48" s="262"/>
      <c r="H48" s="242"/>
      <c r="I48" s="242"/>
      <c r="J48" s="242"/>
      <c r="K48" s="242">
        <f>E48</f>
        <v>918359.2999999999</v>
      </c>
      <c r="L48" s="242"/>
      <c r="M48" s="242"/>
      <c r="N48" s="242"/>
    </row>
    <row r="49" spans="1:14" ht="12.75">
      <c r="A49" s="236">
        <v>64000</v>
      </c>
      <c r="B49" s="238" t="s">
        <v>99</v>
      </c>
      <c r="C49" s="266">
        <f>-6991.21+65000</f>
        <v>58008.79</v>
      </c>
      <c r="D49" s="238">
        <f>2321.06+452.5+92.01-2.48</f>
        <v>2863.09</v>
      </c>
      <c r="E49" s="239">
        <f>+'[1]TB06-30-03(Final)'!G576</f>
        <v>57630</v>
      </c>
      <c r="F49" s="240"/>
      <c r="G49" s="262"/>
      <c r="H49" s="242"/>
      <c r="I49" s="242"/>
      <c r="J49" s="242"/>
      <c r="K49" s="242">
        <f>E49</f>
        <v>57630</v>
      </c>
      <c r="L49" s="242"/>
      <c r="M49" s="242"/>
      <c r="N49" s="242"/>
    </row>
    <row r="50" spans="1:14" ht="12.75">
      <c r="A50" s="236">
        <v>80000</v>
      </c>
      <c r="B50" s="238" t="s">
        <v>100</v>
      </c>
      <c r="C50" s="238">
        <v>5264.11</v>
      </c>
      <c r="D50" s="238">
        <v>-27.5</v>
      </c>
      <c r="E50" s="260">
        <f>+'[1]TB06-30-03(Final)'!F929+'[1]TB6-30-03 (Pre)'!F928</f>
        <v>-3437.89</v>
      </c>
      <c r="F50" s="291"/>
      <c r="G50" s="262"/>
      <c r="H50" s="242"/>
      <c r="I50" s="242">
        <f>+E50</f>
        <v>-3437.89</v>
      </c>
      <c r="J50" s="242"/>
      <c r="K50" s="242"/>
      <c r="L50" s="242"/>
      <c r="M50" s="242"/>
      <c r="N50" s="242"/>
    </row>
    <row r="51" spans="1:14" ht="12.75">
      <c r="A51" s="236">
        <v>80150</v>
      </c>
      <c r="B51" s="238" t="s">
        <v>101</v>
      </c>
      <c r="C51" s="238">
        <v>-35577.27</v>
      </c>
      <c r="D51" s="238">
        <v>0</v>
      </c>
      <c r="E51" s="260">
        <f>+'[1]TB06-30-03(Final)'!F932</f>
        <v>-6995.7</v>
      </c>
      <c r="F51" s="291"/>
      <c r="G51" s="262"/>
      <c r="H51" s="242"/>
      <c r="I51" s="242"/>
      <c r="J51" s="242"/>
      <c r="K51" s="242">
        <f>+E51</f>
        <v>-6995.7</v>
      </c>
      <c r="L51" s="242"/>
      <c r="M51" s="242"/>
      <c r="N51" s="242"/>
    </row>
    <row r="52" spans="1:14" ht="12.75">
      <c r="A52" s="236">
        <v>42000</v>
      </c>
      <c r="B52" s="238" t="s">
        <v>169</v>
      </c>
      <c r="C52" s="238">
        <v>-832021.88</v>
      </c>
      <c r="D52" s="238">
        <v>-22758.51</v>
      </c>
      <c r="E52" s="239">
        <f>+'[1]TB06-30-03(Final)'!G332</f>
        <v>-61536.52</v>
      </c>
      <c r="F52" s="240"/>
      <c r="G52" s="262"/>
      <c r="H52" s="242"/>
      <c r="I52" s="242"/>
      <c r="J52" s="242"/>
      <c r="K52" s="242"/>
      <c r="L52" s="242">
        <f>+E52</f>
        <v>-61536.52</v>
      </c>
      <c r="M52" s="242"/>
      <c r="N52" s="242"/>
    </row>
    <row r="53" spans="2:14" ht="12.75">
      <c r="B53" s="238"/>
      <c r="C53" s="238"/>
      <c r="D53" s="238"/>
      <c r="E53" s="239"/>
      <c r="F53" s="240"/>
      <c r="G53" s="262"/>
      <c r="H53" s="242"/>
      <c r="I53" s="242"/>
      <c r="J53" s="242"/>
      <c r="K53" s="242"/>
      <c r="L53" s="242"/>
      <c r="M53" s="242"/>
      <c r="N53" s="242"/>
    </row>
    <row r="54" spans="1:14" s="265" customFormat="1" ht="12.75">
      <c r="A54" s="275"/>
      <c r="B54" s="266" t="s">
        <v>102</v>
      </c>
      <c r="C54" s="266">
        <f>SUM(C40:C52)</f>
        <v>5494005.41</v>
      </c>
      <c r="D54" s="266">
        <f>SUM(D40:D52)</f>
        <v>-71067.01</v>
      </c>
      <c r="E54" s="239">
        <f>SUM(E40:E52)</f>
        <v>-4135981.120000001</v>
      </c>
      <c r="F54" s="266">
        <f>SUM(F40:F52)</f>
        <v>0</v>
      </c>
      <c r="G54" s="262"/>
      <c r="H54" s="267"/>
      <c r="I54" s="267"/>
      <c r="J54" s="267"/>
      <c r="K54" s="267"/>
      <c r="L54" s="267"/>
      <c r="M54" s="267"/>
      <c r="N54" s="267"/>
    </row>
    <row r="55" spans="1:14" s="265" customFormat="1" ht="13.5" thickBot="1">
      <c r="A55" s="275" t="s">
        <v>113</v>
      </c>
      <c r="B55" s="266"/>
      <c r="C55" s="266"/>
      <c r="D55" s="266"/>
      <c r="E55" s="292">
        <f>+'[1]TB06-30-03(Final)'!G949</f>
        <v>-1803531.0900000038</v>
      </c>
      <c r="F55" s="293"/>
      <c r="G55" s="294">
        <f>SUM(H55:M55)</f>
        <v>38228621.46000001</v>
      </c>
      <c r="H55" s="315">
        <f>SUM(H30:H54)</f>
        <v>35999012.220000006</v>
      </c>
      <c r="I55" s="295">
        <f>SUM(I7:I54)</f>
        <v>-961538.0299999997</v>
      </c>
      <c r="J55" s="315">
        <f>SUM(J7:J54)</f>
        <v>1366452.9899999998</v>
      </c>
      <c r="K55" s="315">
        <f>SUM(K7:K54)</f>
        <v>6261952.479999998</v>
      </c>
      <c r="L55" s="315">
        <f>SUM(L7:L54)</f>
        <v>-61140.399999999994</v>
      </c>
      <c r="M55" s="315">
        <f>SUM(M7:M54)</f>
        <v>-4376117.800000001</v>
      </c>
      <c r="N55" s="242"/>
    </row>
    <row r="56" spans="3:13" ht="12.75">
      <c r="C56" s="296"/>
      <c r="D56" s="296"/>
      <c r="E56" s="297">
        <f>+E54+E55</f>
        <v>-5939512.210000005</v>
      </c>
      <c r="F56" s="298">
        <f>+F54-F55</f>
        <v>0</v>
      </c>
      <c r="G56" s="299">
        <f>SUM(H55:M55)</f>
        <v>38228621.46000001</v>
      </c>
      <c r="H56" s="300" t="s">
        <v>103</v>
      </c>
      <c r="I56" s="300" t="s">
        <v>104</v>
      </c>
      <c r="J56" s="300" t="s">
        <v>105</v>
      </c>
      <c r="K56" s="300" t="s">
        <v>106</v>
      </c>
      <c r="L56" s="300" t="s">
        <v>107</v>
      </c>
      <c r="M56" s="300" t="s">
        <v>108</v>
      </c>
    </row>
    <row r="57" spans="3:12" ht="12.75">
      <c r="C57" s="296"/>
      <c r="D57" s="296"/>
      <c r="E57" s="302"/>
      <c r="F57" s="303"/>
      <c r="G57" s="304"/>
      <c r="H57" s="305"/>
      <c r="I57" s="242">
        <f>+'[4](9)Equity YTD-p4'!$I$9</f>
        <v>41000</v>
      </c>
      <c r="J57" s="242">
        <f>SUM('[4](9)Equity YTD-p4'!$H$14:$H$16)</f>
        <v>17527631.66</v>
      </c>
      <c r="K57" s="306">
        <f>SUM('[4](9)Equity YTD-p4'!$H$17:$H$22)</f>
        <v>5348467.759999999</v>
      </c>
      <c r="L57" s="307">
        <f>+'[4](9)Equity YTD-p4'!$H$10</f>
        <v>422680.17999999993</v>
      </c>
    </row>
    <row r="58" spans="3:8" ht="12.75">
      <c r="C58" s="296"/>
      <c r="D58" s="296"/>
      <c r="E58" s="297"/>
      <c r="F58" s="303"/>
      <c r="G58" s="308"/>
      <c r="H58" s="305"/>
    </row>
    <row r="59" spans="3:11" ht="12.75">
      <c r="C59" s="296"/>
      <c r="D59" s="296"/>
      <c r="E59" s="297"/>
      <c r="F59" s="303"/>
      <c r="G59" s="308"/>
      <c r="H59" s="305"/>
      <c r="I59" s="306">
        <f>+I55+I57</f>
        <v>-920538.0299999997</v>
      </c>
      <c r="J59" s="306">
        <f>+J55-J57</f>
        <v>-16161178.67</v>
      </c>
      <c r="K59" s="306">
        <f>+K55-K57</f>
        <v>913484.7199999988</v>
      </c>
    </row>
    <row r="60" spans="3:8" ht="12.75">
      <c r="C60" s="296"/>
      <c r="D60" s="296"/>
      <c r="E60" s="297"/>
      <c r="F60" s="303"/>
      <c r="G60" s="308"/>
      <c r="H60" s="305"/>
    </row>
    <row r="61" spans="3:10" ht="12.75">
      <c r="C61" s="296"/>
      <c r="D61" s="296"/>
      <c r="E61" s="302"/>
      <c r="F61" s="303"/>
      <c r="G61" s="308"/>
      <c r="H61" s="305"/>
      <c r="I61" s="306">
        <f>+I11+I50</f>
        <v>-85090.03000000001</v>
      </c>
      <c r="J61" s="306">
        <f>+J20+J22</f>
        <v>-33276.1</v>
      </c>
    </row>
    <row r="62" spans="3:10" ht="12.75">
      <c r="C62" s="296"/>
      <c r="D62" s="296"/>
      <c r="E62" s="302"/>
      <c r="F62" s="303"/>
      <c r="G62" s="308"/>
      <c r="H62" s="305"/>
      <c r="J62" s="309" t="s">
        <v>109</v>
      </c>
    </row>
  </sheetData>
  <printOptions gridLines="1"/>
  <pageMargins left="0.75" right="0.75" top="0.49" bottom="0.25" header="0.3"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2.75"/>
  <cols>
    <col min="1" max="1" width="40.7109375" style="166" customWidth="1"/>
    <col min="2" max="3" width="17.7109375" style="86" customWidth="1"/>
    <col min="4" max="7" width="17.7109375" style="70" customWidth="1"/>
    <col min="8" max="16384" width="9.140625" style="166" customWidth="1"/>
  </cols>
  <sheetData>
    <row r="1" spans="1:7" s="376" customFormat="1" ht="25.5">
      <c r="A1" s="113" t="s">
        <v>177</v>
      </c>
      <c r="B1" s="123"/>
      <c r="C1" s="123"/>
      <c r="D1" s="159"/>
      <c r="E1" s="159"/>
      <c r="F1" s="160"/>
      <c r="G1" s="160"/>
    </row>
    <row r="2" s="376" customFormat="1" ht="25.5"/>
    <row r="3" spans="1:7" s="460" customFormat="1" ht="15">
      <c r="A3" s="482" t="s">
        <v>286</v>
      </c>
      <c r="B3" s="482"/>
      <c r="C3" s="482"/>
      <c r="D3" s="482"/>
      <c r="E3" s="482"/>
      <c r="F3" s="482"/>
      <c r="G3" s="482"/>
    </row>
    <row r="4" spans="1:7" s="460" customFormat="1" ht="15">
      <c r="A4" s="482" t="s">
        <v>132</v>
      </c>
      <c r="B4" s="482"/>
      <c r="C4" s="482"/>
      <c r="D4" s="482"/>
      <c r="E4" s="482"/>
      <c r="F4" s="482"/>
      <c r="G4" s="482"/>
    </row>
    <row r="5" s="376" customFormat="1" ht="25.5"/>
    <row r="6" spans="1:7" ht="30" customHeight="1">
      <c r="A6" s="124"/>
      <c r="B6" s="126" t="s">
        <v>30</v>
      </c>
      <c r="C6" s="126" t="s">
        <v>31</v>
      </c>
      <c r="D6" s="146" t="s">
        <v>151</v>
      </c>
      <c r="E6" s="146" t="s">
        <v>165</v>
      </c>
      <c r="F6" s="146" t="s">
        <v>143</v>
      </c>
      <c r="G6" s="147" t="s">
        <v>178</v>
      </c>
    </row>
    <row r="7" spans="1:7" ht="15.75" customHeight="1">
      <c r="A7" s="318" t="s">
        <v>287</v>
      </c>
      <c r="B7" s="109"/>
      <c r="C7" s="109"/>
      <c r="D7" s="109"/>
      <c r="E7" s="109"/>
      <c r="F7" s="109"/>
      <c r="G7" s="109"/>
    </row>
    <row r="8" spans="1:7" ht="15.75" customHeight="1">
      <c r="A8" s="318" t="s">
        <v>288</v>
      </c>
      <c r="B8" s="127"/>
      <c r="C8" s="127"/>
      <c r="D8" s="109"/>
      <c r="E8" s="109"/>
      <c r="F8" s="109"/>
      <c r="G8" s="109"/>
    </row>
    <row r="9" spans="1:7" ht="15.75" customHeight="1">
      <c r="A9" s="319" t="s">
        <v>289</v>
      </c>
      <c r="B9" s="231">
        <f>'[5]Loss Expenses Paid QTD-16'!E34</f>
        <v>400689.53</v>
      </c>
      <c r="C9" s="231">
        <f>'[5]Loss Expenses Paid QTD-16'!E28+'[6]3Q03 TRIAL BALANCE'!C252</f>
        <v>1860761.19</v>
      </c>
      <c r="D9" s="458">
        <f>'[5]Loss Expenses Paid QTD-16'!E22</f>
        <v>0</v>
      </c>
      <c r="E9" s="231">
        <f>'[5]Loss Expenses Paid QTD-16'!E16</f>
        <v>1000</v>
      </c>
      <c r="F9" s="231">
        <f>'[5]Loss Expenses Paid QTD-16'!E10+'[6]3Q03 TRIAL BALANCE'!C247+'[6]3Q03 TRIAL BALANCE'!C248</f>
        <v>-69350</v>
      </c>
      <c r="G9" s="231">
        <f>SUM(B9:F9)</f>
        <v>2193100.7199999997</v>
      </c>
    </row>
    <row r="10" spans="1:7" ht="15.75" customHeight="1">
      <c r="A10" s="319" t="s">
        <v>290</v>
      </c>
      <c r="B10" s="133">
        <f>'[5]Loss Expenses Paid QTD-16'!E35</f>
        <v>129630.64</v>
      </c>
      <c r="C10" s="133">
        <f>'[5]Loss Expenses Paid QTD-16'!E29</f>
        <v>146469.9</v>
      </c>
      <c r="D10" s="133">
        <f>'[5]Loss Expenses Paid QTD-16'!E23</f>
        <v>3395</v>
      </c>
      <c r="E10" s="133">
        <f>'[5]Loss Expenses Paid QTD-16'!E17</f>
        <v>0</v>
      </c>
      <c r="F10" s="133">
        <f>'[5]Loss Expenses Paid QTD-16'!E11+'[6]3Q03 TRIAL BALANCE'!C254-1</f>
        <v>-62.1</v>
      </c>
      <c r="G10" s="155">
        <f>SUM(B10:F10)+1</f>
        <v>279434.44</v>
      </c>
    </row>
    <row r="11" spans="1:7" ht="15.75" customHeight="1">
      <c r="A11" s="319" t="s">
        <v>0</v>
      </c>
      <c r="B11" s="133">
        <f>'[5]Loss Expenses Paid QTD-16'!E36</f>
        <v>0</v>
      </c>
      <c r="C11" s="133">
        <f>'[5]Loss Expenses Paid QTD-16'!E30</f>
        <v>0</v>
      </c>
      <c r="D11" s="133">
        <f>'[5]Loss Expenses Paid QTD-16'!E24</f>
        <v>0</v>
      </c>
      <c r="E11" s="133">
        <f>'[5]Loss Expenses Paid QTD-16'!E18</f>
        <v>0</v>
      </c>
      <c r="F11" s="133">
        <f>'[5]Loss Expenses Paid QTD-16'!E12</f>
        <v>0</v>
      </c>
      <c r="G11" s="155">
        <f>SUM(B11:F11)</f>
        <v>0</v>
      </c>
    </row>
    <row r="12" spans="1:7" ht="15.75" customHeight="1" thickBot="1">
      <c r="A12" s="320" t="s">
        <v>279</v>
      </c>
      <c r="B12" s="80">
        <f>SUM(B9:B11)+1</f>
        <v>530321.17</v>
      </c>
      <c r="C12" s="80">
        <f>SUM(C9:C11)</f>
        <v>2007231.0899999999</v>
      </c>
      <c r="D12" s="156">
        <f>SUM(D9:D11)</f>
        <v>3395</v>
      </c>
      <c r="E12" s="156">
        <f>SUM(E9:E11)</f>
        <v>1000</v>
      </c>
      <c r="F12" s="156">
        <f>SUM(F9:F11)</f>
        <v>-69412.1</v>
      </c>
      <c r="G12" s="72">
        <f>SUM(G9:G11)</f>
        <v>2472535.1599999997</v>
      </c>
    </row>
    <row r="13" spans="1:7" ht="15.75" customHeight="1" thickTop="1">
      <c r="A13" s="319"/>
      <c r="B13" s="69"/>
      <c r="C13" s="69"/>
      <c r="D13" s="155"/>
      <c r="E13" s="155"/>
      <c r="F13" s="155"/>
      <c r="G13" s="155"/>
    </row>
    <row r="14" spans="1:7" ht="15.75" customHeight="1">
      <c r="A14" s="318" t="s">
        <v>133</v>
      </c>
      <c r="B14" s="69"/>
      <c r="C14" s="69"/>
      <c r="D14" s="155"/>
      <c r="E14" s="155"/>
      <c r="F14" s="155"/>
      <c r="G14" s="155"/>
    </row>
    <row r="15" spans="1:7" ht="15.75" customHeight="1">
      <c r="A15" s="319" t="s">
        <v>1</v>
      </c>
      <c r="B15" s="155">
        <f>'Losses Incurred YTD-p10'!B15</f>
        <v>2512534.17</v>
      </c>
      <c r="C15" s="155">
        <f>'Losses Incurred YTD-p10'!C15</f>
        <v>2672513.43</v>
      </c>
      <c r="D15" s="155">
        <f>'Losses Incurred YTD-p10'!D15</f>
        <v>101025</v>
      </c>
      <c r="E15" s="155">
        <f>'Losses Incurred YTD-p10'!E15</f>
        <v>90525</v>
      </c>
      <c r="F15" s="155">
        <f>'Losses Incurred YTD-p10'!F15</f>
        <v>27649</v>
      </c>
      <c r="G15" s="155">
        <f>SUM(B15:F15)-1</f>
        <v>5404245.6</v>
      </c>
    </row>
    <row r="16" spans="1:7" ht="15.75" customHeight="1">
      <c r="A16" s="319" t="s">
        <v>2</v>
      </c>
      <c r="B16" s="155">
        <f>'Losses Incurred YTD-p10'!B16</f>
        <v>505970.45</v>
      </c>
      <c r="C16" s="155">
        <f>'Losses Incurred YTD-p10'!C16</f>
        <v>281230.53</v>
      </c>
      <c r="D16" s="155">
        <f>'Losses Incurred YTD-p10'!D16</f>
        <v>37019</v>
      </c>
      <c r="E16" s="155">
        <f>'Losses Incurred YTD-p10'!E16</f>
        <v>0</v>
      </c>
      <c r="F16" s="155">
        <f>'Losses Incurred YTD-p10'!F16</f>
        <v>10</v>
      </c>
      <c r="G16" s="155">
        <f>SUM(B16:F16)</f>
        <v>824229.98</v>
      </c>
    </row>
    <row r="17" spans="1:7" ht="15.75" customHeight="1">
      <c r="A17" s="319" t="s">
        <v>3</v>
      </c>
      <c r="B17" s="155">
        <f>'Losses Incurred YTD-p10'!B17</f>
        <v>4298.33</v>
      </c>
      <c r="C17" s="155">
        <f>'Losses Incurred YTD-p10'!C17</f>
        <v>1240.37</v>
      </c>
      <c r="D17" s="155">
        <f>'Losses Incurred YTD-p10'!D17</f>
        <v>0</v>
      </c>
      <c r="E17" s="155">
        <f>'Losses Incurred YTD-p10'!E17</f>
        <v>0</v>
      </c>
      <c r="F17" s="155">
        <f>'Losses Incurred YTD-p10'!F17</f>
        <v>0</v>
      </c>
      <c r="G17" s="155">
        <f>SUM(B17:F17)-1</f>
        <v>5537.7</v>
      </c>
    </row>
    <row r="18" spans="1:7" ht="15.75" customHeight="1" thickBot="1">
      <c r="A18" s="320" t="s">
        <v>279</v>
      </c>
      <c r="B18" s="80">
        <f>SUM(B15:B17)-1</f>
        <v>3022801.95</v>
      </c>
      <c r="C18" s="80">
        <f>SUM(C15:C17)</f>
        <v>2954984.33</v>
      </c>
      <c r="D18" s="156">
        <f>SUM(D15:D17)</f>
        <v>138044</v>
      </c>
      <c r="E18" s="156">
        <f>SUM(E15:E17)</f>
        <v>90525</v>
      </c>
      <c r="F18" s="156">
        <f>SUM(F15:F17)</f>
        <v>27659</v>
      </c>
      <c r="G18" s="72">
        <f>SUM(G15:G17)+1</f>
        <v>6234014.28</v>
      </c>
    </row>
    <row r="19" spans="1:7" ht="15.75" customHeight="1" thickTop="1">
      <c r="A19" s="319"/>
      <c r="B19" s="69"/>
      <c r="C19" s="69"/>
      <c r="D19" s="155"/>
      <c r="E19" s="155"/>
      <c r="F19" s="155"/>
      <c r="G19" s="155"/>
    </row>
    <row r="20" spans="1:7" ht="15.75" customHeight="1">
      <c r="A20" s="318" t="s">
        <v>134</v>
      </c>
      <c r="B20" s="128"/>
      <c r="C20" s="128"/>
      <c r="D20" s="155"/>
      <c r="E20" s="155"/>
      <c r="F20" s="155"/>
      <c r="G20" s="155"/>
    </row>
    <row r="21" spans="1:7" ht="15.75" customHeight="1">
      <c r="A21" s="319" t="s">
        <v>1</v>
      </c>
      <c r="B21" s="69">
        <f>'[7]Losses Incurred YTD-p10'!B15</f>
        <v>1430800.6961725808</v>
      </c>
      <c r="C21" s="69">
        <f>'[7]Losses Incurred YTD-p10'!C15</f>
        <v>3297459.7516644</v>
      </c>
      <c r="D21" s="155">
        <f>'[7]Losses Incurred YTD-p10'!D15</f>
        <v>106032.46</v>
      </c>
      <c r="E21" s="155">
        <f>'[7]Losses Incurred YTD-p10'!E15</f>
        <v>82022</v>
      </c>
      <c r="F21" s="155">
        <f>'[7]Losses Incurred YTD-p10'!F15</f>
        <v>88329.03</v>
      </c>
      <c r="G21" s="155">
        <f>SUM(B21:F21)</f>
        <v>5004643.937836981</v>
      </c>
    </row>
    <row r="22" spans="1:7" ht="15.75" customHeight="1">
      <c r="A22" s="319" t="s">
        <v>2</v>
      </c>
      <c r="B22" s="69">
        <f>'[7]Losses Incurred YTD-p10'!B16</f>
        <v>261799.88269716201</v>
      </c>
      <c r="C22" s="69">
        <f>'[7]Losses Incurred YTD-p10'!C16</f>
        <v>405480.2822427551</v>
      </c>
      <c r="D22" s="155">
        <f>'[7]Losses Incurred YTD-p10'!D16</f>
        <v>19521.36</v>
      </c>
      <c r="E22" s="155">
        <f>'[7]Losses Incurred YTD-p10'!E16</f>
        <v>7</v>
      </c>
      <c r="F22" s="155">
        <f>'[7]Losses Incurred YTD-p10'!F16</f>
        <v>368.82</v>
      </c>
      <c r="G22" s="155">
        <f>SUM(B22:F22)</f>
        <v>687177.3449399171</v>
      </c>
    </row>
    <row r="23" spans="1:7" ht="15.75" customHeight="1">
      <c r="A23" s="319" t="s">
        <v>3</v>
      </c>
      <c r="B23" s="69">
        <f>'[7]Losses Incurred YTD-p10'!B17</f>
        <v>2818.1886290164193</v>
      </c>
      <c r="C23" s="69">
        <f>'[7]Losses Incurred YTD-p10'!C17</f>
        <v>3082.743594085453</v>
      </c>
      <c r="D23" s="155">
        <f>'[7]Losses Incurred YTD-p10'!D17</f>
        <v>0</v>
      </c>
      <c r="E23" s="155">
        <f>'[7]Losses Incurred YTD-p10'!E17</f>
        <v>0</v>
      </c>
      <c r="F23" s="155">
        <f>'[7]Losses Incurred YTD-p10'!F17</f>
        <v>0</v>
      </c>
      <c r="G23" s="155">
        <f>SUM(B23:F23)</f>
        <v>5900.932223101872</v>
      </c>
    </row>
    <row r="24" spans="1:7" ht="15.75" customHeight="1" thickBot="1">
      <c r="A24" s="320" t="s">
        <v>279</v>
      </c>
      <c r="B24" s="80">
        <f>SUM(B21:B23)</f>
        <v>1695418.7674987593</v>
      </c>
      <c r="C24" s="80">
        <f>SUM(C21:C23)</f>
        <v>3706022.7775012404</v>
      </c>
      <c r="D24" s="156">
        <f>SUM(D21:D23)-1</f>
        <v>125552.82</v>
      </c>
      <c r="E24" s="156">
        <f>SUM(E21:E23)</f>
        <v>82029</v>
      </c>
      <c r="F24" s="156">
        <f>SUM(F21:F23)</f>
        <v>88697.85</v>
      </c>
      <c r="G24" s="72">
        <f>SUM(B24:F24)+1</f>
        <v>5697722.215</v>
      </c>
    </row>
    <row r="25" spans="1:7" s="322" customFormat="1" ht="15.75" customHeight="1" thickTop="1">
      <c r="A25" s="321"/>
      <c r="B25" s="128"/>
      <c r="C25" s="128"/>
      <c r="D25" s="128"/>
      <c r="E25" s="128"/>
      <c r="F25" s="128"/>
      <c r="G25" s="128"/>
    </row>
    <row r="26" spans="1:7" ht="15.75" customHeight="1">
      <c r="A26" s="318" t="s">
        <v>4</v>
      </c>
      <c r="B26" s="69"/>
      <c r="C26" s="69"/>
      <c r="D26" s="155"/>
      <c r="E26" s="155"/>
      <c r="F26" s="155"/>
      <c r="G26" s="155"/>
    </row>
    <row r="27" spans="1:7" ht="15.75" customHeight="1">
      <c r="A27" s="319" t="s">
        <v>1</v>
      </c>
      <c r="B27" s="155">
        <f>B9+(B15-B21)</f>
        <v>1482423.0038274191</v>
      </c>
      <c r="C27" s="155">
        <f aca="true" t="shared" si="0" ref="C27:F29">C9+(C15-C21)</f>
        <v>1235814.8683356</v>
      </c>
      <c r="D27" s="155">
        <f t="shared" si="0"/>
        <v>-5007.460000000006</v>
      </c>
      <c r="E27" s="155">
        <f t="shared" si="0"/>
        <v>9503</v>
      </c>
      <c r="F27" s="155">
        <f t="shared" si="0"/>
        <v>-130030.03</v>
      </c>
      <c r="G27" s="155">
        <f>SUM(B27:F27)</f>
        <v>2592703.3821630194</v>
      </c>
    </row>
    <row r="28" spans="1:7" ht="15.75" customHeight="1">
      <c r="A28" s="319" t="s">
        <v>2</v>
      </c>
      <c r="B28" s="155">
        <f>B10+(B16-B22)</f>
        <v>373801.207302838</v>
      </c>
      <c r="C28" s="155">
        <f t="shared" si="0"/>
        <v>22220.147757244908</v>
      </c>
      <c r="D28" s="155">
        <f t="shared" si="0"/>
        <v>20892.64</v>
      </c>
      <c r="E28" s="155">
        <f t="shared" si="0"/>
        <v>-7</v>
      </c>
      <c r="F28" s="155">
        <f t="shared" si="0"/>
        <v>-420.92</v>
      </c>
      <c r="G28" s="155">
        <f>SUM(B28:F28)</f>
        <v>416486.0750600829</v>
      </c>
    </row>
    <row r="29" spans="1:7" ht="15.75" customHeight="1">
      <c r="A29" s="319" t="s">
        <v>3</v>
      </c>
      <c r="B29" s="155">
        <f>B11+(B17-B23)</f>
        <v>1480.1413709835806</v>
      </c>
      <c r="C29" s="155">
        <f t="shared" si="0"/>
        <v>-1842.373594085453</v>
      </c>
      <c r="D29" s="155">
        <f t="shared" si="0"/>
        <v>0</v>
      </c>
      <c r="E29" s="155">
        <f t="shared" si="0"/>
        <v>0</v>
      </c>
      <c r="F29" s="155">
        <f t="shared" si="0"/>
        <v>0</v>
      </c>
      <c r="G29" s="155">
        <f>SUM(B29:F29)</f>
        <v>-362.2322231018725</v>
      </c>
    </row>
    <row r="30" spans="1:7" ht="15.75" customHeight="1" thickBot="1">
      <c r="A30" s="320" t="s">
        <v>279</v>
      </c>
      <c r="B30" s="422">
        <f>SUM(B27:B29)</f>
        <v>1857704.3525012408</v>
      </c>
      <c r="C30" s="422">
        <f>SUM(C27:C29)</f>
        <v>1256192.6424987596</v>
      </c>
      <c r="D30" s="422">
        <f>SUM(D27:D29)+1</f>
        <v>15886.179999999993</v>
      </c>
      <c r="E30" s="422">
        <f>SUM(E27:E29)</f>
        <v>9496</v>
      </c>
      <c r="F30" s="422">
        <f>SUM(F27:F29)</f>
        <v>-130450.95</v>
      </c>
      <c r="G30" s="422">
        <f>SUM(B30:F30)-1</f>
        <v>3008827.225</v>
      </c>
    </row>
    <row r="31" spans="2:3" ht="15.75" customHeight="1" thickTop="1">
      <c r="B31" s="109"/>
      <c r="C31" s="109"/>
    </row>
    <row r="32" spans="2:3" ht="15.75" customHeight="1">
      <c r="B32" s="109"/>
      <c r="C32" s="109"/>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mergeCells count="2">
    <mergeCell ref="A3:G3"/>
    <mergeCell ref="A4:G4"/>
  </mergeCells>
  <printOptions horizontalCentered="1"/>
  <pageMargins left="0.5" right="0.5" top="0.5" bottom="0.5" header="0.5" footer="0"/>
  <pageSetup horizontalDpi="300" verticalDpi="300" orientation="landscape" scale="80" r:id="rId1"/>
  <headerFooter alignWithMargins="0">
    <oddFooter>&amp;CPage 9
</oddFooter>
  </headerFooter>
</worksheet>
</file>

<file path=xl/worksheets/sheet11.xml><?xml version="1.0" encoding="utf-8"?>
<worksheet xmlns="http://schemas.openxmlformats.org/spreadsheetml/2006/main" xmlns:r="http://schemas.openxmlformats.org/officeDocument/2006/relationships">
  <dimension ref="A1:I45"/>
  <sheetViews>
    <sheetView zoomScale="75" zoomScaleNormal="75" workbookViewId="0" topLeftCell="A4">
      <selection activeCell="B17" sqref="B17"/>
    </sheetView>
  </sheetViews>
  <sheetFormatPr defaultColWidth="9.140625" defaultRowHeight="12.75"/>
  <cols>
    <col min="1" max="1" width="44.00390625" style="15" customWidth="1"/>
    <col min="2" max="3" width="19.7109375" style="86" customWidth="1"/>
    <col min="4" max="4" width="19.140625" style="70" customWidth="1"/>
    <col min="5" max="5" width="18.57421875" style="70" customWidth="1"/>
    <col min="6" max="6" width="18.28125" style="70" customWidth="1"/>
    <col min="7" max="7" width="20.140625" style="70" customWidth="1"/>
    <col min="8" max="8" width="18.421875" style="15" customWidth="1"/>
    <col min="9" max="9" width="14.57421875" style="15" bestFit="1" customWidth="1"/>
    <col min="10" max="10" width="18.57421875" style="15" bestFit="1" customWidth="1"/>
    <col min="11" max="16384" width="9.140625" style="15" customWidth="1"/>
  </cols>
  <sheetData>
    <row r="1" spans="1:7" s="115" customFormat="1" ht="27">
      <c r="A1" s="114" t="s">
        <v>177</v>
      </c>
      <c r="B1" s="123"/>
      <c r="C1" s="123"/>
      <c r="D1" s="148"/>
      <c r="E1" s="148"/>
      <c r="F1" s="148"/>
      <c r="G1" s="149"/>
    </row>
    <row r="2" spans="1:7" ht="19.5" customHeight="1">
      <c r="A2" s="16"/>
      <c r="B2" s="124"/>
      <c r="C2" s="124"/>
      <c r="D2" s="150"/>
      <c r="E2" s="150"/>
      <c r="F2" s="124"/>
      <c r="G2" s="124"/>
    </row>
    <row r="3" spans="1:7" s="52" customFormat="1" ht="18.75">
      <c r="A3" s="51" t="s">
        <v>286</v>
      </c>
      <c r="B3" s="125"/>
      <c r="C3" s="125"/>
      <c r="D3" s="151"/>
      <c r="E3" s="151"/>
      <c r="F3" s="152"/>
      <c r="G3" s="124"/>
    </row>
    <row r="4" spans="1:7" s="52" customFormat="1" ht="18.75">
      <c r="A4" s="51" t="str">
        <f>+'Premiums YTD-p8'!A4</f>
        <v>YTD PERIOD ENDED SEPTEMBER 30, 2003</v>
      </c>
      <c r="B4" s="125"/>
      <c r="C4" s="125"/>
      <c r="D4" s="151"/>
      <c r="E4" s="151"/>
      <c r="F4" s="153"/>
      <c r="G4" s="124"/>
    </row>
    <row r="5" spans="1:7" s="52" customFormat="1" ht="16.5">
      <c r="A5" s="25"/>
      <c r="B5" s="125"/>
      <c r="C5" s="125"/>
      <c r="D5" s="124"/>
      <c r="E5" s="124"/>
      <c r="F5" s="152"/>
      <c r="G5" s="152"/>
    </row>
    <row r="6" spans="1:7" ht="30" customHeight="1">
      <c r="A6" s="53"/>
      <c r="B6" s="126" t="s">
        <v>30</v>
      </c>
      <c r="C6" s="126" t="s">
        <v>31</v>
      </c>
      <c r="D6" s="146" t="s">
        <v>151</v>
      </c>
      <c r="E6" s="146" t="s">
        <v>165</v>
      </c>
      <c r="F6" s="146" t="s">
        <v>143</v>
      </c>
      <c r="G6" s="147" t="s">
        <v>178</v>
      </c>
    </row>
    <row r="7" spans="1:7" ht="15.75">
      <c r="A7" s="54" t="s">
        <v>287</v>
      </c>
      <c r="D7" s="154"/>
      <c r="E7" s="154"/>
      <c r="F7" s="154"/>
      <c r="G7" s="154"/>
    </row>
    <row r="8" spans="1:8" ht="15">
      <c r="A8" s="54" t="s">
        <v>288</v>
      </c>
      <c r="B8" s="127"/>
      <c r="C8" s="127"/>
      <c r="D8" s="154"/>
      <c r="E8" s="154"/>
      <c r="F8" s="154"/>
      <c r="G8" s="154"/>
      <c r="H8" s="65"/>
    </row>
    <row r="9" spans="1:8" ht="14.25">
      <c r="A9" s="55" t="s">
        <v>289</v>
      </c>
      <c r="B9" s="68">
        <f>+'[1]TB06-30-03(Final)'!F343</f>
        <v>221805.4</v>
      </c>
      <c r="C9" s="68">
        <f>+'[1]TB06-30-03(Final)'!F342</f>
        <v>5660240</v>
      </c>
      <c r="D9" s="68">
        <f>+'[1]TB06-30-03(Final)'!F341</f>
        <v>480103.75</v>
      </c>
      <c r="E9" s="68">
        <f>+'[1]TB06-30-03(Final)'!F340</f>
        <v>51024.15</v>
      </c>
      <c r="F9" s="68">
        <f>SUM('[1]TB06-30-03(Final)'!F336:F339)+'[1]TB06-30-03(Final)'!G367</f>
        <v>-28611.47</v>
      </c>
      <c r="G9" s="68">
        <f>SUM(B9:F9)</f>
        <v>6384561.830000001</v>
      </c>
      <c r="H9" s="24" t="s">
        <v>173</v>
      </c>
    </row>
    <row r="10" spans="1:8" s="22" customFormat="1" ht="14.25">
      <c r="A10" s="56" t="s">
        <v>290</v>
      </c>
      <c r="B10" s="133">
        <f>+'[1]TB06-30-03(Final)'!F350</f>
        <v>49292.74</v>
      </c>
      <c r="C10" s="133">
        <f>+'[1]TB06-30-03(Final)'!D349+'[1]TB06-30-03(Final)'!F375</f>
        <v>215068.41999999998</v>
      </c>
      <c r="D10" s="133">
        <f>+'[1]TB06-30-03(Final)'!F348+'[1]TB06-30-03(Final)'!F374</f>
        <v>61900.079999999994</v>
      </c>
      <c r="E10" s="133">
        <f>+'[1]TB06-30-03(Final)'!F347</f>
        <v>8309.83</v>
      </c>
      <c r="F10" s="133">
        <f>SUM('[1]TB06-30-03(Final)'!F344:F346)+'[1]TB06-30-03(Final)'!G372</f>
        <v>1840.46</v>
      </c>
      <c r="G10" s="155">
        <f>SUM(B10:F10)</f>
        <v>336411.53</v>
      </c>
      <c r="H10" s="24" t="s">
        <v>174</v>
      </c>
    </row>
    <row r="11" spans="1:8" s="22" customFormat="1" ht="14.25">
      <c r="A11" s="56" t="s">
        <v>0</v>
      </c>
      <c r="B11" s="133">
        <f>+'[1]TB06-30-03(Final)'!D356</f>
        <v>0</v>
      </c>
      <c r="C11" s="133">
        <f>+'[1]TB06-30-03(Final)'!F355</f>
        <v>8390.38</v>
      </c>
      <c r="D11" s="133">
        <f>+'[1]TB06-30-03(Final)'!F354</f>
        <v>0</v>
      </c>
      <c r="E11" s="133">
        <f>+'[1]TB06-30-03(Final)'!F353</f>
        <v>0</v>
      </c>
      <c r="F11" s="133">
        <f>+'[1]TB06-30-03(Final)'!F352</f>
        <v>0</v>
      </c>
      <c r="G11" s="155">
        <f>SUM(B11:F11)</f>
        <v>8390.38</v>
      </c>
      <c r="H11" s="24" t="s">
        <v>175</v>
      </c>
    </row>
    <row r="12" spans="1:8" s="22" customFormat="1" ht="15.75" thickBot="1">
      <c r="A12" s="57" t="s">
        <v>279</v>
      </c>
      <c r="B12" s="80">
        <f aca="true" t="shared" si="0" ref="B12:G12">SUM(B9:B11)</f>
        <v>271098.14</v>
      </c>
      <c r="C12" s="80">
        <f t="shared" si="0"/>
        <v>5883698.8</v>
      </c>
      <c r="D12" s="156">
        <f t="shared" si="0"/>
        <v>542003.83</v>
      </c>
      <c r="E12" s="156">
        <f t="shared" si="0"/>
        <v>59333.98</v>
      </c>
      <c r="F12" s="156">
        <f t="shared" si="0"/>
        <v>-26771.010000000002</v>
      </c>
      <c r="G12" s="72">
        <f t="shared" si="0"/>
        <v>6729363.740000001</v>
      </c>
      <c r="H12" s="22">
        <f>+'[1]TB06-30-03(Final)'!E379</f>
        <v>3815692.150000001</v>
      </c>
    </row>
    <row r="13" spans="1:8" s="22" customFormat="1" ht="15" thickTop="1">
      <c r="A13" s="55"/>
      <c r="B13" s="69"/>
      <c r="C13" s="69"/>
      <c r="D13" s="155"/>
      <c r="E13" s="155"/>
      <c r="F13" s="155"/>
      <c r="G13" s="155"/>
      <c r="H13" s="22">
        <f>+G12-H12</f>
        <v>2913671.5900000003</v>
      </c>
    </row>
    <row r="14" spans="1:7" s="22" customFormat="1" ht="15">
      <c r="A14" s="54" t="s">
        <v>144</v>
      </c>
      <c r="B14" s="69"/>
      <c r="C14" s="69"/>
      <c r="D14" s="155"/>
      <c r="E14" s="155"/>
      <c r="F14" s="155"/>
      <c r="G14" s="155"/>
    </row>
    <row r="15" spans="1:7" s="22" customFormat="1" ht="14.25">
      <c r="A15" s="55" t="s">
        <v>1</v>
      </c>
      <c r="B15" s="155">
        <f>+'[1](1)IBNR Cal-p13'!D26</f>
        <v>2807761.84</v>
      </c>
      <c r="C15" s="155">
        <f>+'[1](1)IBNR Cal-p13'!E26</f>
        <v>3297459.7516644</v>
      </c>
      <c r="D15" s="155">
        <f>+'[1](1)IBNR Cal-p13'!E20</f>
        <v>106032.46</v>
      </c>
      <c r="E15" s="155">
        <f>+'[1](1)IBNR Cal-p13'!E14</f>
        <v>82022</v>
      </c>
      <c r="F15" s="155">
        <f>+'[1](1)IBNR Cal-p13'!E8</f>
        <v>88329.03</v>
      </c>
      <c r="G15" s="155">
        <f>SUM(B15:F15)</f>
        <v>6381605.0816644</v>
      </c>
    </row>
    <row r="16" spans="1:7" s="22" customFormat="1" ht="14.25">
      <c r="A16" s="55" t="s">
        <v>2</v>
      </c>
      <c r="B16" s="155">
        <f>+'[1](1)IBNR Cal-p13'!D27</f>
        <v>227947</v>
      </c>
      <c r="C16" s="155">
        <f>+'[1](1)IBNR Cal-p13'!E27</f>
        <v>405480.2822427551</v>
      </c>
      <c r="D16" s="155">
        <f>+'[1](1)IBNR Cal-p13'!E21</f>
        <v>19521.36</v>
      </c>
      <c r="E16" s="155">
        <f>+'[1](1)IBNR Cal-p13'!E15</f>
        <v>7</v>
      </c>
      <c r="F16" s="155">
        <f>+'[1](1)IBNR Cal-p13'!E9</f>
        <v>368.82</v>
      </c>
      <c r="G16" s="155">
        <f>SUM(B16:F16)</f>
        <v>653324.4622427551</v>
      </c>
    </row>
    <row r="17" spans="1:7" s="22" customFormat="1" ht="14.25">
      <c r="A17" s="55" t="s">
        <v>3</v>
      </c>
      <c r="B17" s="155">
        <f>+'[1](1)IBNR Cal-p13'!D28</f>
        <v>0</v>
      </c>
      <c r="C17" s="155">
        <f>+'[1](1)IBNR Cal-p13'!E28</f>
        <v>3082.743594085453</v>
      </c>
      <c r="D17" s="155">
        <f>+'[1](1)IBNR Cal-p13'!E22</f>
        <v>0</v>
      </c>
      <c r="E17" s="155">
        <f>+'[1](1)IBNR Cal-p13'!E16</f>
        <v>0</v>
      </c>
      <c r="F17" s="155">
        <f>+'[1](1)IBNR Cal-p13'!E10</f>
        <v>0</v>
      </c>
      <c r="G17" s="155">
        <f>SUM(B17:F17)</f>
        <v>3082.743594085453</v>
      </c>
    </row>
    <row r="18" spans="1:8" s="22" customFormat="1" ht="15">
      <c r="A18" s="57" t="s">
        <v>279</v>
      </c>
      <c r="B18" s="80">
        <f>SUM(B15:B17)+1</f>
        <v>3035709.84</v>
      </c>
      <c r="C18" s="80">
        <f>SUM(C15:C17)+1</f>
        <v>3706023.7775012404</v>
      </c>
      <c r="D18" s="156">
        <f>SUM(D15:D17)+1</f>
        <v>125554.82</v>
      </c>
      <c r="E18" s="156">
        <f>SUM(E15:E17)</f>
        <v>82029</v>
      </c>
      <c r="F18" s="156">
        <f>SUM(F15:F17)</f>
        <v>88697.85</v>
      </c>
      <c r="G18" s="71">
        <f>SUM(G15:G17)</f>
        <v>7038012.287501241</v>
      </c>
      <c r="H18" s="22">
        <f>+'[1](1)IBNR Cal-p13'!E40</f>
        <v>5697722.205</v>
      </c>
    </row>
    <row r="19" spans="1:7" s="22" customFormat="1" ht="14.25">
      <c r="A19" s="55"/>
      <c r="B19" s="69"/>
      <c r="C19" s="69"/>
      <c r="D19" s="155"/>
      <c r="E19" s="155"/>
      <c r="F19" s="155"/>
      <c r="G19" s="155"/>
    </row>
    <row r="20" spans="1:7" s="22" customFormat="1" ht="15">
      <c r="A20" s="54" t="s">
        <v>155</v>
      </c>
      <c r="B20" s="128" t="s">
        <v>176</v>
      </c>
      <c r="C20" s="128" t="s">
        <v>176</v>
      </c>
      <c r="D20" s="155"/>
      <c r="E20" s="155"/>
      <c r="F20" s="155"/>
      <c r="G20" s="155"/>
    </row>
    <row r="21" spans="1:7" s="22" customFormat="1" ht="14.25">
      <c r="A21" s="55" t="s">
        <v>1</v>
      </c>
      <c r="B21" s="69">
        <v>0</v>
      </c>
      <c r="C21" s="69">
        <v>3812745.98</v>
      </c>
      <c r="D21" s="155">
        <v>796383.95</v>
      </c>
      <c r="E21" s="155">
        <v>173012</v>
      </c>
      <c r="F21" s="155">
        <f>4+76330.03</f>
        <v>76334.03</v>
      </c>
      <c r="G21" s="155">
        <f>SUM(B21:F21)</f>
        <v>4858475.96</v>
      </c>
    </row>
    <row r="22" spans="1:7" s="22" customFormat="1" ht="14.25">
      <c r="A22" s="55" t="s">
        <v>2</v>
      </c>
      <c r="B22" s="69">
        <v>0</v>
      </c>
      <c r="C22" s="69">
        <v>582572.89</v>
      </c>
      <c r="D22" s="155">
        <v>136273.61</v>
      </c>
      <c r="E22" s="155">
        <v>-982</v>
      </c>
      <c r="F22" s="155">
        <f>365.82+1967</f>
        <v>2332.82</v>
      </c>
      <c r="G22" s="155">
        <f>SUM(B22:F22)</f>
        <v>720197.32</v>
      </c>
    </row>
    <row r="23" spans="1:7" s="22" customFormat="1" ht="14.25">
      <c r="A23" s="55" t="s">
        <v>3</v>
      </c>
      <c r="B23" s="69">
        <v>0</v>
      </c>
      <c r="C23" s="69">
        <v>8803.51</v>
      </c>
      <c r="D23" s="155">
        <v>0</v>
      </c>
      <c r="E23" s="155">
        <v>0</v>
      </c>
      <c r="F23" s="155">
        <v>0</v>
      </c>
      <c r="G23" s="155">
        <f>SUM(B23:F23)</f>
        <v>8803.51</v>
      </c>
    </row>
    <row r="24" spans="1:8" s="22" customFormat="1" ht="15.75" thickBot="1">
      <c r="A24" s="57" t="s">
        <v>279</v>
      </c>
      <c r="B24" s="80">
        <f>SUM(B21:B23)</f>
        <v>0</v>
      </c>
      <c r="C24" s="80">
        <f>SUM(C21:C23)</f>
        <v>4404122.38</v>
      </c>
      <c r="D24" s="156">
        <f>SUM(D21:D23)</f>
        <v>932657.5599999999</v>
      </c>
      <c r="E24" s="156">
        <f>SUM(E21:E23)</f>
        <v>172030</v>
      </c>
      <c r="F24" s="156">
        <f>SUM(F21:F23)</f>
        <v>78666.85</v>
      </c>
      <c r="G24" s="72">
        <f>SUM(B24:F24)</f>
        <v>5587476.789999999</v>
      </c>
      <c r="H24" s="22">
        <f>SUM(G21:G23)</f>
        <v>5587476.79</v>
      </c>
    </row>
    <row r="25" spans="1:7" s="121" customFormat="1" ht="15" thickTop="1">
      <c r="A25" s="120"/>
      <c r="B25" s="128"/>
      <c r="C25" s="128"/>
      <c r="D25" s="128"/>
      <c r="E25" s="128"/>
      <c r="F25" s="128"/>
      <c r="G25" s="128"/>
    </row>
    <row r="26" spans="1:7" s="22" customFormat="1" ht="15">
      <c r="A26" s="54" t="s">
        <v>4</v>
      </c>
      <c r="B26" s="69"/>
      <c r="C26" s="69"/>
      <c r="D26" s="155"/>
      <c r="E26" s="155"/>
      <c r="F26" s="155"/>
      <c r="G26" s="155"/>
    </row>
    <row r="27" spans="1:9" s="22" customFormat="1" ht="14.25">
      <c r="A27" s="55" t="s">
        <v>1</v>
      </c>
      <c r="B27" s="155">
        <f aca="true" t="shared" si="1" ref="B27:C29">B9+(B15-B21)</f>
        <v>3029567.2399999998</v>
      </c>
      <c r="C27" s="155">
        <f t="shared" si="1"/>
        <v>5144953.7716644</v>
      </c>
      <c r="D27" s="155">
        <f aca="true" t="shared" si="2" ref="D27:E29">D9+(D15-D21)</f>
        <v>-210247.74</v>
      </c>
      <c r="E27" s="155">
        <f t="shared" si="2"/>
        <v>-39965.85</v>
      </c>
      <c r="F27" s="155">
        <f>F9+(F15-F21)</f>
        <v>-16616.47</v>
      </c>
      <c r="G27" s="155">
        <f>SUM(B27:F27)</f>
        <v>7907690.9516644</v>
      </c>
      <c r="H27" s="24" t="s">
        <v>267</v>
      </c>
      <c r="I27" s="22" t="s">
        <v>270</v>
      </c>
    </row>
    <row r="28" spans="1:8" s="22" customFormat="1" ht="14.25">
      <c r="A28" s="55" t="s">
        <v>2</v>
      </c>
      <c r="B28" s="155">
        <f t="shared" si="1"/>
        <v>277239.74</v>
      </c>
      <c r="C28" s="155">
        <f t="shared" si="1"/>
        <v>37975.812242755084</v>
      </c>
      <c r="D28" s="155">
        <f t="shared" si="2"/>
        <v>-54852.16999999999</v>
      </c>
      <c r="E28" s="155">
        <f t="shared" si="2"/>
        <v>9298.83</v>
      </c>
      <c r="F28" s="155">
        <f>F10+(F16-F22)</f>
        <v>-123.54000000000019</v>
      </c>
      <c r="G28" s="155">
        <f>SUM(B28:F28)</f>
        <v>269538.6722427551</v>
      </c>
      <c r="H28" s="24" t="s">
        <v>268</v>
      </c>
    </row>
    <row r="29" spans="1:8" s="22" customFormat="1" ht="14.25">
      <c r="A29" s="55" t="s">
        <v>3</v>
      </c>
      <c r="B29" s="155">
        <f t="shared" si="1"/>
        <v>0</v>
      </c>
      <c r="C29" s="155">
        <f t="shared" si="1"/>
        <v>2669.613594085452</v>
      </c>
      <c r="D29" s="155">
        <f t="shared" si="2"/>
        <v>0</v>
      </c>
      <c r="E29" s="155">
        <f t="shared" si="2"/>
        <v>0</v>
      </c>
      <c r="F29" s="155">
        <f>F11+(F17-F23)</f>
        <v>0</v>
      </c>
      <c r="G29" s="155">
        <f>SUM(B29:F29)</f>
        <v>2669.613594085452</v>
      </c>
      <c r="H29" s="24" t="s">
        <v>269</v>
      </c>
    </row>
    <row r="30" spans="1:9" ht="15.75" thickBot="1">
      <c r="A30" s="57" t="s">
        <v>279</v>
      </c>
      <c r="B30" s="210">
        <f>SUM(B27:B29)-1</f>
        <v>3306805.9799999995</v>
      </c>
      <c r="C30" s="210">
        <f>SUM(C27:C29)-1</f>
        <v>5185598.19750124</v>
      </c>
      <c r="D30" s="210">
        <f>SUM(D27:D29)</f>
        <v>-265099.91</v>
      </c>
      <c r="E30" s="210">
        <f>SUM(E27:E29)</f>
        <v>-30667.019999999997</v>
      </c>
      <c r="F30" s="210">
        <f>SUM(F27:F29)</f>
        <v>-16740.010000000002</v>
      </c>
      <c r="G30" s="210">
        <f>SUM(G27:G29)</f>
        <v>8179899.237501241</v>
      </c>
      <c r="H30" s="70">
        <f>SUM(G27:G29)</f>
        <v>8179899.237501241</v>
      </c>
      <c r="I30" s="58"/>
    </row>
    <row r="31" spans="4:8" ht="16.5" thickTop="1">
      <c r="D31" s="157"/>
      <c r="E31" s="157"/>
      <c r="F31" s="158"/>
      <c r="G31" s="158"/>
      <c r="H31" s="59">
        <f>+'[1]TB06-30-03(Final)'!E431</f>
        <v>2160529.7000000007</v>
      </c>
    </row>
    <row r="32" spans="4:8" ht="15.75">
      <c r="D32" s="157"/>
      <c r="E32" s="157"/>
      <c r="F32" s="158"/>
      <c r="G32" s="158"/>
      <c r="H32" s="59"/>
    </row>
    <row r="33" spans="1:7" ht="18.75" customHeight="1">
      <c r="A33" s="54" t="s">
        <v>16</v>
      </c>
      <c r="D33" s="227"/>
      <c r="E33" s="227"/>
      <c r="F33" s="227"/>
      <c r="G33" s="228" t="s">
        <v>15</v>
      </c>
    </row>
    <row r="34" spans="1:7" ht="14.25">
      <c r="A34" s="55" t="s">
        <v>1</v>
      </c>
      <c r="B34" s="69">
        <f>468189.06-222137.25</f>
        <v>246051.81</v>
      </c>
      <c r="C34" s="69">
        <f>468189.06-222137.25</f>
        <v>246051.81</v>
      </c>
      <c r="D34" s="69">
        <f>448199.18-670918.35</f>
        <v>-222719.16999999998</v>
      </c>
      <c r="E34" s="229">
        <v>0</v>
      </c>
      <c r="F34" s="229">
        <v>0</v>
      </c>
      <c r="G34" s="68">
        <f>SUM(B34:F34)</f>
        <v>269384.45</v>
      </c>
    </row>
    <row r="35" spans="1:7" ht="14.25">
      <c r="A35" s="55" t="s">
        <v>2</v>
      </c>
      <c r="B35" s="69">
        <f>175542.97-81939.83</f>
        <v>93603.14</v>
      </c>
      <c r="C35" s="69">
        <f>175542.97-81939.83</f>
        <v>93603.14</v>
      </c>
      <c r="D35" s="69">
        <f>180110.78-278566.43</f>
        <v>-98455.65</v>
      </c>
      <c r="E35" s="229">
        <v>0</v>
      </c>
      <c r="F35" s="229">
        <v>0</v>
      </c>
      <c r="G35" s="68">
        <f>SUM(B35:F35)</f>
        <v>88750.63</v>
      </c>
    </row>
    <row r="36" spans="1:7" ht="14.25">
      <c r="A36" s="55" t="s">
        <v>3</v>
      </c>
      <c r="B36" s="69">
        <f>3215.61-1526.93</f>
        <v>1688.68</v>
      </c>
      <c r="C36" s="69">
        <f>3215.61-1526.93</f>
        <v>1688.68</v>
      </c>
      <c r="D36" s="69">
        <f>3443.46-5433.83</f>
        <v>-1990.37</v>
      </c>
      <c r="E36" s="229">
        <v>0</v>
      </c>
      <c r="F36" s="229">
        <v>0</v>
      </c>
      <c r="G36" s="68">
        <f>SUM(B36:F36)</f>
        <v>1386.9900000000002</v>
      </c>
    </row>
    <row r="37" spans="1:7" ht="15.75" thickBot="1">
      <c r="A37" s="57" t="s">
        <v>279</v>
      </c>
      <c r="B37" s="210">
        <f aca="true" t="shared" si="3" ref="B37:G37">SUM(B34:B36)</f>
        <v>341343.63</v>
      </c>
      <c r="C37" s="210">
        <f t="shared" si="3"/>
        <v>341343.63</v>
      </c>
      <c r="D37" s="210">
        <f t="shared" si="3"/>
        <v>-323165.18999999994</v>
      </c>
      <c r="E37" s="230">
        <f t="shared" si="3"/>
        <v>0</v>
      </c>
      <c r="F37" s="230">
        <f t="shared" si="3"/>
        <v>0</v>
      </c>
      <c r="G37" s="210">
        <f t="shared" si="3"/>
        <v>359522.07</v>
      </c>
    </row>
    <row r="38" spans="1:7" s="79" customFormat="1" ht="16.5" thickTop="1">
      <c r="A38" s="120"/>
      <c r="B38" s="212"/>
      <c r="C38" s="212"/>
      <c r="D38" s="212"/>
      <c r="E38" s="212"/>
      <c r="F38" s="93"/>
      <c r="G38" s="93"/>
    </row>
    <row r="39" spans="1:8" ht="31.5" customHeight="1">
      <c r="A39" s="54" t="s">
        <v>198</v>
      </c>
      <c r="B39" s="146" t="s">
        <v>31</v>
      </c>
      <c r="C39" s="146" t="s">
        <v>31</v>
      </c>
      <c r="D39" s="146" t="s">
        <v>151</v>
      </c>
      <c r="E39" s="146" t="s">
        <v>165</v>
      </c>
      <c r="F39" s="146" t="s">
        <v>213</v>
      </c>
      <c r="G39" s="147" t="s">
        <v>178</v>
      </c>
      <c r="H39" s="103"/>
    </row>
    <row r="40" spans="2:8" ht="15.75">
      <c r="B40" s="130"/>
      <c r="C40" s="130"/>
      <c r="D40" s="143"/>
      <c r="E40" s="143"/>
      <c r="F40" s="145"/>
      <c r="G40" s="133"/>
      <c r="H40" s="104">
        <f>+'[1]TB06-30-03(Final)'!G425</f>
        <v>0</v>
      </c>
    </row>
    <row r="41" spans="1:8" ht="12.75" customHeight="1">
      <c r="A41" s="55" t="s">
        <v>1</v>
      </c>
      <c r="B41" s="132">
        <f>+B27-B34</f>
        <v>2783515.4299999997</v>
      </c>
      <c r="C41" s="132">
        <f aca="true" t="shared" si="4" ref="C41:F42">+C27-C34</f>
        <v>4898901.9616644</v>
      </c>
      <c r="D41" s="132">
        <f t="shared" si="4"/>
        <v>12471.429999999993</v>
      </c>
      <c r="E41" s="132">
        <f t="shared" si="4"/>
        <v>-39965.85</v>
      </c>
      <c r="F41" s="132">
        <f t="shared" si="4"/>
        <v>-16616.47</v>
      </c>
      <c r="G41" s="133">
        <f>SUM(C41:F41)</f>
        <v>4854791.0716644</v>
      </c>
      <c r="H41" s="38"/>
    </row>
    <row r="42" spans="1:8" ht="12.75" customHeight="1">
      <c r="A42" s="55" t="s">
        <v>2</v>
      </c>
      <c r="B42" s="132">
        <f>+B28-B35</f>
        <v>183636.59999999998</v>
      </c>
      <c r="C42" s="132">
        <f t="shared" si="4"/>
        <v>-55627.327757244915</v>
      </c>
      <c r="D42" s="132">
        <f t="shared" si="4"/>
        <v>43603.48</v>
      </c>
      <c r="E42" s="132">
        <f t="shared" si="4"/>
        <v>9298.83</v>
      </c>
      <c r="F42" s="132">
        <f t="shared" si="4"/>
        <v>-123.54000000000019</v>
      </c>
      <c r="G42" s="133">
        <f>SUM(C42:F42)</f>
        <v>-2848.557757244912</v>
      </c>
      <c r="H42" s="38"/>
    </row>
    <row r="43" spans="1:8" ht="14.25">
      <c r="A43" s="55" t="s">
        <v>3</v>
      </c>
      <c r="B43" s="132">
        <f>+B29-B36</f>
        <v>-1688.68</v>
      </c>
      <c r="C43" s="132">
        <f>+C29-C36</f>
        <v>980.9335940854519</v>
      </c>
      <c r="D43" s="132">
        <f>+D29-D36</f>
        <v>1990.37</v>
      </c>
      <c r="E43" s="132">
        <f>+E29-E35</f>
        <v>0</v>
      </c>
      <c r="F43" s="132">
        <f>+F29-F35</f>
        <v>0</v>
      </c>
      <c r="G43" s="133">
        <f>SUM(C43:F43)</f>
        <v>2971.3035940854516</v>
      </c>
      <c r="H43" s="38"/>
    </row>
    <row r="44" spans="1:8" ht="15.75" thickBot="1">
      <c r="A44" s="57" t="s">
        <v>279</v>
      </c>
      <c r="B44" s="210">
        <f>SUM(B41:B43)-1</f>
        <v>2965462.3499999996</v>
      </c>
      <c r="C44" s="210">
        <f>SUM(C41:C43)-1</f>
        <v>4844254.56750124</v>
      </c>
      <c r="D44" s="72">
        <f>SUM(D41:D43)</f>
        <v>58065.28</v>
      </c>
      <c r="E44" s="72">
        <f>SUM(E41:E43)</f>
        <v>-30667.019999999997</v>
      </c>
      <c r="F44" s="72">
        <f>SUM(F41:F43)</f>
        <v>-16740.010000000002</v>
      </c>
      <c r="G44" s="210">
        <f>SUM(G41:G43)+1</f>
        <v>4854914.81750124</v>
      </c>
      <c r="H44" s="38"/>
    </row>
    <row r="45" spans="1:8" ht="16.5" thickTop="1">
      <c r="A45" s="57"/>
      <c r="D45" s="86"/>
      <c r="E45" s="86"/>
      <c r="F45" s="158"/>
      <c r="G45" s="39"/>
      <c r="H45" s="24"/>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2.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A4" sqref="A4:G4"/>
    </sheetView>
  </sheetViews>
  <sheetFormatPr defaultColWidth="9.140625" defaultRowHeight="12.75"/>
  <cols>
    <col min="1" max="1" width="45.7109375" style="15" customWidth="1"/>
    <col min="2" max="3" width="17.7109375" style="130" customWidth="1"/>
    <col min="4" max="7" width="17.7109375" style="145" customWidth="1"/>
    <col min="8" max="8" width="17.140625" style="15" bestFit="1" customWidth="1"/>
    <col min="9" max="9" width="13.8515625" style="15" bestFit="1" customWidth="1"/>
    <col min="10" max="10" width="11.7109375" style="15" bestFit="1" customWidth="1"/>
    <col min="11" max="16384" width="9.140625" style="15" customWidth="1"/>
  </cols>
  <sheetData>
    <row r="1" spans="1:7" s="115" customFormat="1" ht="27">
      <c r="A1" s="483" t="s">
        <v>177</v>
      </c>
      <c r="B1" s="483"/>
      <c r="C1" s="483"/>
      <c r="D1" s="483"/>
      <c r="E1" s="483"/>
      <c r="F1" s="483"/>
      <c r="G1" s="483"/>
    </row>
    <row r="2" spans="1:7" ht="19.5" customHeight="1">
      <c r="A2" s="461"/>
      <c r="B2" s="461"/>
      <c r="C2" s="461"/>
      <c r="D2" s="461"/>
      <c r="E2" s="461"/>
      <c r="F2" s="461"/>
      <c r="G2" s="461"/>
    </row>
    <row r="3" spans="1:7" s="30" customFormat="1" ht="15.75">
      <c r="A3" s="484" t="s">
        <v>286</v>
      </c>
      <c r="B3" s="484"/>
      <c r="C3" s="484"/>
      <c r="D3" s="484"/>
      <c r="E3" s="484"/>
      <c r="F3" s="484"/>
      <c r="G3" s="484"/>
    </row>
    <row r="4" spans="1:7" s="30" customFormat="1" ht="15.75">
      <c r="A4" s="484" t="s">
        <v>131</v>
      </c>
      <c r="B4" s="484"/>
      <c r="C4" s="484"/>
      <c r="D4" s="484"/>
      <c r="E4" s="484"/>
      <c r="F4" s="484"/>
      <c r="G4" s="484"/>
    </row>
    <row r="5" spans="1:7" ht="15">
      <c r="A5" s="82"/>
      <c r="B5" s="129"/>
      <c r="C5" s="129"/>
      <c r="D5" s="375"/>
      <c r="E5" s="375"/>
      <c r="F5" s="375"/>
      <c r="G5" s="375"/>
    </row>
    <row r="6" spans="1:7" ht="30" customHeight="1">
      <c r="A6" s="53"/>
      <c r="B6" s="146" t="s">
        <v>30</v>
      </c>
      <c r="C6" s="146" t="s">
        <v>31</v>
      </c>
      <c r="D6" s="146" t="s">
        <v>151</v>
      </c>
      <c r="E6" s="146" t="s">
        <v>165</v>
      </c>
      <c r="F6" s="146" t="s">
        <v>143</v>
      </c>
      <c r="G6" s="147" t="s">
        <v>178</v>
      </c>
    </row>
    <row r="7" spans="1:7" s="70" customFormat="1" ht="15.75" customHeight="1">
      <c r="A7" s="87" t="s">
        <v>287</v>
      </c>
      <c r="B7" s="133"/>
      <c r="C7" s="133"/>
      <c r="D7" s="131"/>
      <c r="E7" s="131"/>
      <c r="F7" s="131"/>
      <c r="G7" s="131"/>
    </row>
    <row r="8" spans="1:7" s="70" customFormat="1" ht="15.75" customHeight="1">
      <c r="A8" s="87" t="s">
        <v>288</v>
      </c>
      <c r="B8" s="132"/>
      <c r="C8" s="132"/>
      <c r="D8" s="131"/>
      <c r="E8" s="131"/>
      <c r="F8" s="131"/>
      <c r="G8" s="131"/>
    </row>
    <row r="9" spans="1:8" ht="15.75" customHeight="1">
      <c r="A9" s="55" t="s">
        <v>289</v>
      </c>
      <c r="B9" s="418">
        <f>'[5]Loss Expenses Paid YTD-17'!E34</f>
        <v>622494.93</v>
      </c>
      <c r="C9" s="418">
        <f>'[5]Loss Expenses Paid YTD-17'!E28+'[6]3Q03 TRIAL BALANCE'!E252</f>
        <v>7519711.19</v>
      </c>
      <c r="D9" s="418">
        <f>'[5]Loss Expenses Paid YTD-17'!E22+'[6]3Q03 TRIAL BALANCE'!E251</f>
        <v>475801.7</v>
      </c>
      <c r="E9" s="418">
        <f>'[5]Loss Expenses Paid YTD-17'!E16</f>
        <v>52024.15</v>
      </c>
      <c r="F9" s="419">
        <f>'[5]Loss Expenses Paid YTD-17'!E10+'[6]3Q03 TRIAL BALANCE'!E246+'[6]3Q03 TRIAL BALANCE'!E247+'[6]3Q03 TRIAL BALANCE'!E248+'[6]3Q03 TRIAL BALANCE'!E249+'[6]3Q03 TRIAL BALANCE'!E250</f>
        <v>-97961.47</v>
      </c>
      <c r="G9" s="418">
        <f>SUM(B9:F9)</f>
        <v>8572070.5</v>
      </c>
      <c r="H9" s="24"/>
    </row>
    <row r="10" spans="1:7" s="22" customFormat="1" ht="15.75" customHeight="1">
      <c r="A10" s="56" t="s">
        <v>290</v>
      </c>
      <c r="B10" s="133">
        <f>'[5]Loss Expenses Paid YTD-17'!E35</f>
        <v>178923.38</v>
      </c>
      <c r="C10" s="133">
        <f>'[5]Loss Expenses Paid YTD-17'!E29+'[6]3Q03 TRIAL BALANCE'!E256</f>
        <v>608973.5299999999</v>
      </c>
      <c r="D10" s="133">
        <f>'[5]Loss Expenses Paid YTD-17'!E23+'[6]3Q03 TRIAL BALANCE'!E255</f>
        <v>65295.079999999994</v>
      </c>
      <c r="E10" s="133">
        <f>'[5]Loss Expenses Paid YTD-17'!E17</f>
        <v>8309.83</v>
      </c>
      <c r="F10" s="133">
        <f>'[5]Loss Expenses Paid YTD-17'!E11+'[6]3Q03 TRIAL BALANCE'!E253+'[6]3Q03 TRIAL BALANCE'!E254</f>
        <v>-5447.25</v>
      </c>
      <c r="G10" s="133">
        <f>SUM(B10:F10)</f>
        <v>856054.5699999998</v>
      </c>
    </row>
    <row r="11" spans="1:7" s="22" customFormat="1" ht="15.75" customHeight="1">
      <c r="A11" s="56" t="s">
        <v>0</v>
      </c>
      <c r="B11" s="133">
        <f>'[5]Loss Expenses Paid YTD-17'!E36</f>
        <v>0</v>
      </c>
      <c r="C11" s="133">
        <f>'[5]Loss Expenses Paid YTD-17'!E30</f>
        <v>8390.38</v>
      </c>
      <c r="D11" s="133">
        <f>'[5]Loss Expenses Paid YTD-17'!E24</f>
        <v>0</v>
      </c>
      <c r="E11" s="133">
        <f>'[5]Loss Expenses Paid YTD-17'!E18</f>
        <v>0</v>
      </c>
      <c r="F11" s="133">
        <f>'[5]Loss Expenses Paid YTD-17'!E12</f>
        <v>0</v>
      </c>
      <c r="G11" s="134">
        <f>SUM(B11:F11)</f>
        <v>8390.38</v>
      </c>
    </row>
    <row r="12" spans="1:9" s="22" customFormat="1" ht="15.75" customHeight="1" thickBot="1">
      <c r="A12" s="57" t="s">
        <v>279</v>
      </c>
      <c r="B12" s="135">
        <f>SUM(B9:B11)</f>
        <v>801418.31</v>
      </c>
      <c r="C12" s="135">
        <f>SUM(C9:C11)</f>
        <v>8137075.100000001</v>
      </c>
      <c r="D12" s="135">
        <f>SUM(D9:D11)</f>
        <v>541096.78</v>
      </c>
      <c r="E12" s="135">
        <f>SUM(E9:E11)</f>
        <v>60333.98</v>
      </c>
      <c r="F12" s="135">
        <f>SUM(F9:F11)+1</f>
        <v>-103407.72</v>
      </c>
      <c r="G12" s="136">
        <f>SUM(B12:F12)</f>
        <v>9436516.45</v>
      </c>
      <c r="I12" s="231"/>
    </row>
    <row r="13" spans="1:7" s="22" customFormat="1" ht="15.75" customHeight="1" thickTop="1">
      <c r="A13" s="55"/>
      <c r="B13" s="132"/>
      <c r="C13" s="132"/>
      <c r="D13" s="133"/>
      <c r="E13" s="133"/>
      <c r="F13" s="133"/>
      <c r="G13" s="133"/>
    </row>
    <row r="14" spans="1:8" s="22" customFormat="1" ht="15.75" customHeight="1">
      <c r="A14" s="54" t="s">
        <v>133</v>
      </c>
      <c r="B14" s="132"/>
      <c r="C14" s="132"/>
      <c r="D14" s="137"/>
      <c r="E14" s="137"/>
      <c r="F14" s="137"/>
      <c r="G14" s="133"/>
      <c r="H14" s="117"/>
    </row>
    <row r="15" spans="1:7" s="22" customFormat="1" ht="15.75" customHeight="1">
      <c r="A15" s="55" t="s">
        <v>1</v>
      </c>
      <c r="B15" s="133">
        <f>'[5]IBNR Calculation-p13'!E36</f>
        <v>2512534.17</v>
      </c>
      <c r="C15" s="133">
        <f>'[5]IBNR Calculation-p13'!E30</f>
        <v>2672513.43</v>
      </c>
      <c r="D15" s="133">
        <f>'[5]IBNR Calculation-p13'!E23</f>
        <v>101025</v>
      </c>
      <c r="E15" s="133">
        <f>'[5]IBNR Calculation-p13'!E16</f>
        <v>90525</v>
      </c>
      <c r="F15" s="133">
        <f>'[5]IBNR Calculation-p13'!E9</f>
        <v>27649</v>
      </c>
      <c r="G15" s="133">
        <f>SUM(B15:F15)-1</f>
        <v>5404245.6</v>
      </c>
    </row>
    <row r="16" spans="1:7" s="22" customFormat="1" ht="15.75" customHeight="1">
      <c r="A16" s="55" t="s">
        <v>2</v>
      </c>
      <c r="B16" s="133">
        <f>'[5]IBNR Calculation-p13'!E37</f>
        <v>505970.45</v>
      </c>
      <c r="C16" s="133">
        <f>'[5]IBNR Calculation-p13'!E31</f>
        <v>281230.53</v>
      </c>
      <c r="D16" s="133">
        <f>'[5]IBNR Calculation-p13'!E24-2</f>
        <v>37019</v>
      </c>
      <c r="E16" s="133">
        <f>'[5]IBNR Calculation-p13'!E17-2</f>
        <v>0</v>
      </c>
      <c r="F16" s="133">
        <f>'[5]IBNR Calculation-p13'!E10+4</f>
        <v>10</v>
      </c>
      <c r="G16" s="133">
        <f>SUM(B16:F16)</f>
        <v>824229.98</v>
      </c>
    </row>
    <row r="17" spans="1:7" s="22" customFormat="1" ht="15.75" customHeight="1">
      <c r="A17" s="55" t="s">
        <v>3</v>
      </c>
      <c r="B17" s="133">
        <f>'[5]IBNR Calculation-p13'!E38+1</f>
        <v>4298.33</v>
      </c>
      <c r="C17" s="133">
        <f>'[5]IBNR Calculation-p13'!E32</f>
        <v>1240.37</v>
      </c>
      <c r="D17" s="133">
        <f>'[5]IBNR Calculation-p13'!E25</f>
        <v>0</v>
      </c>
      <c r="E17" s="133">
        <f>'[5]IBNR Calculation-p13'!E18</f>
        <v>0</v>
      </c>
      <c r="F17" s="133">
        <f>'[5]IBNR Calculation-p13'!E11</f>
        <v>0</v>
      </c>
      <c r="G17" s="133">
        <f>SUM(B17:F17)-1</f>
        <v>5537.7</v>
      </c>
    </row>
    <row r="18" spans="1:7" s="22" customFormat="1" ht="15.75" customHeight="1" thickBot="1">
      <c r="A18" s="57" t="s">
        <v>279</v>
      </c>
      <c r="B18" s="135">
        <f>SUM(B15:B17)-1</f>
        <v>3022801.95</v>
      </c>
      <c r="C18" s="135">
        <f>SUM(C15:C17)</f>
        <v>2954984.33</v>
      </c>
      <c r="D18" s="135">
        <f>SUM(D15:D17)</f>
        <v>138044</v>
      </c>
      <c r="E18" s="135">
        <f>SUM(E15:E17)</f>
        <v>90525</v>
      </c>
      <c r="F18" s="135">
        <f>SUM(F15:F17)</f>
        <v>27659</v>
      </c>
      <c r="G18" s="136">
        <f>SUM(B18:F18)</f>
        <v>6234014.28</v>
      </c>
    </row>
    <row r="19" spans="1:7" s="22" customFormat="1" ht="15.75" customHeight="1" thickTop="1">
      <c r="A19" s="55"/>
      <c r="B19" s="132"/>
      <c r="C19" s="132"/>
      <c r="D19" s="133"/>
      <c r="E19" s="133"/>
      <c r="F19" s="133"/>
      <c r="G19" s="133"/>
    </row>
    <row r="20" spans="1:7" s="22" customFormat="1" ht="15.75" customHeight="1">
      <c r="A20" s="54" t="s">
        <v>155</v>
      </c>
      <c r="B20" s="138"/>
      <c r="C20" s="138"/>
      <c r="D20" s="133"/>
      <c r="E20" s="133"/>
      <c r="F20" s="133"/>
      <c r="G20" s="133"/>
    </row>
    <row r="21" spans="1:7" s="22" customFormat="1" ht="15.75" customHeight="1">
      <c r="A21" s="55" t="s">
        <v>1</v>
      </c>
      <c r="B21" s="132">
        <f>'[7]Losses Incurred YTD-p10'!B21</f>
        <v>0</v>
      </c>
      <c r="C21" s="132">
        <f>'[7]Losses Incurred YTD-p10'!C21</f>
        <v>3812745.98</v>
      </c>
      <c r="D21" s="133">
        <f>'[7]Losses Incurred YTD-p10'!D21</f>
        <v>796383.85</v>
      </c>
      <c r="E21" s="133">
        <f>'[7]Losses Incurred YTD-p10'!E21</f>
        <v>173012</v>
      </c>
      <c r="F21" s="133">
        <f>'[7]Losses Incurred YTD-p10'!F21</f>
        <v>76334.03</v>
      </c>
      <c r="G21" s="133">
        <f>SUM(B21:F21)</f>
        <v>4858475.86</v>
      </c>
    </row>
    <row r="22" spans="1:7" s="22" customFormat="1" ht="15.75" customHeight="1">
      <c r="A22" s="55" t="s">
        <v>2</v>
      </c>
      <c r="B22" s="132">
        <f>'[7]Losses Incurred YTD-p10'!B22</f>
        <v>0</v>
      </c>
      <c r="C22" s="132">
        <f>'[7]Losses Incurred YTD-p10'!C22</f>
        <v>582572.89</v>
      </c>
      <c r="D22" s="133">
        <f>'[7]Losses Incurred YTD-p10'!D22</f>
        <v>136273.61</v>
      </c>
      <c r="E22" s="133">
        <f>'[7]Losses Incurred YTD-p10'!E22</f>
        <v>-982</v>
      </c>
      <c r="F22" s="133">
        <f>'[7]Losses Incurred YTD-p10'!F22</f>
        <v>2332.82</v>
      </c>
      <c r="G22" s="133">
        <f>SUM(B22:F22)</f>
        <v>720197.32</v>
      </c>
    </row>
    <row r="23" spans="1:7" s="22" customFormat="1" ht="15.75" customHeight="1">
      <c r="A23" s="55" t="s">
        <v>3</v>
      </c>
      <c r="B23" s="132">
        <f>'[7]Losses Incurred YTD-p10'!B23</f>
        <v>0</v>
      </c>
      <c r="C23" s="132">
        <f>'[7]Losses Incurred YTD-p10'!C23</f>
        <v>8803.51</v>
      </c>
      <c r="D23" s="133">
        <f>'[7]Losses Incurred YTD-p10'!D23</f>
        <v>0</v>
      </c>
      <c r="E23" s="133">
        <f>'[7]Losses Incurred YTD-p10'!E23</f>
        <v>0</v>
      </c>
      <c r="F23" s="133">
        <f>'[7]Losses Incurred YTD-p10'!F23</f>
        <v>0</v>
      </c>
      <c r="G23" s="133">
        <f>SUM(B23:F23)</f>
        <v>8803.51</v>
      </c>
    </row>
    <row r="24" spans="1:7" s="22" customFormat="1" ht="15.75" customHeight="1" thickBot="1">
      <c r="A24" s="57" t="s">
        <v>279</v>
      </c>
      <c r="B24" s="139">
        <f>SUM(B21:B23)</f>
        <v>0</v>
      </c>
      <c r="C24" s="139">
        <f>SUM(C21:C23)+1</f>
        <v>4404123.38</v>
      </c>
      <c r="D24" s="135">
        <f>SUM(D21:D23)+1</f>
        <v>932658.46</v>
      </c>
      <c r="E24" s="135">
        <f>SUM(E21:E23)</f>
        <v>172030</v>
      </c>
      <c r="F24" s="135">
        <f>SUM(F21:F23)</f>
        <v>78666.85</v>
      </c>
      <c r="G24" s="136">
        <f>SUM(B24:F24)-2</f>
        <v>5587476.6899999995</v>
      </c>
    </row>
    <row r="25" spans="1:7" s="22" customFormat="1" ht="15.75" customHeight="1" thickTop="1">
      <c r="A25" s="55"/>
      <c r="B25" s="132"/>
      <c r="C25" s="132"/>
      <c r="D25" s="133"/>
      <c r="E25" s="133"/>
      <c r="F25" s="133"/>
      <c r="G25" s="133"/>
    </row>
    <row r="26" spans="1:7" s="22" customFormat="1" ht="15.75" customHeight="1">
      <c r="A26" s="54" t="s">
        <v>122</v>
      </c>
      <c r="B26" s="132"/>
      <c r="C26" s="132"/>
      <c r="D26" s="133"/>
      <c r="E26" s="133"/>
      <c r="F26" s="133"/>
      <c r="G26" s="133"/>
    </row>
    <row r="27" spans="1:7" s="22" customFormat="1" ht="15.75" customHeight="1">
      <c r="A27" s="55" t="s">
        <v>1</v>
      </c>
      <c r="B27" s="132">
        <f aca="true" t="shared" si="0" ref="B27:C29">B9+(B15-B21)</f>
        <v>3135029.1</v>
      </c>
      <c r="C27" s="132">
        <f t="shared" si="0"/>
        <v>6379478.640000001</v>
      </c>
      <c r="D27" s="133">
        <f aca="true" t="shared" si="1" ref="D27:E29">D9+(D15-D21)</f>
        <v>-219557.14999999997</v>
      </c>
      <c r="E27" s="133">
        <f t="shared" si="1"/>
        <v>-30462.85</v>
      </c>
      <c r="F27" s="133">
        <f>F9+(F15-F21)</f>
        <v>-146646.5</v>
      </c>
      <c r="G27" s="133">
        <f>SUM(B27:F27)+1</f>
        <v>9117842.24</v>
      </c>
    </row>
    <row r="28" spans="1:7" s="22" customFormat="1" ht="15.75" customHeight="1">
      <c r="A28" s="55" t="s">
        <v>2</v>
      </c>
      <c r="B28" s="132">
        <f t="shared" si="0"/>
        <v>684893.8300000001</v>
      </c>
      <c r="C28" s="132">
        <f t="shared" si="0"/>
        <v>307631.1699999999</v>
      </c>
      <c r="D28" s="133">
        <f t="shared" si="1"/>
        <v>-33959.52999999999</v>
      </c>
      <c r="E28" s="133">
        <f t="shared" si="1"/>
        <v>9291.83</v>
      </c>
      <c r="F28" s="133">
        <f>F10+(F16-F22)</f>
        <v>-7770.07</v>
      </c>
      <c r="G28" s="133">
        <f>SUM(B28:F28)</f>
        <v>960087.23</v>
      </c>
    </row>
    <row r="29" spans="1:7" s="22" customFormat="1" ht="15.75" customHeight="1">
      <c r="A29" s="55" t="s">
        <v>3</v>
      </c>
      <c r="B29" s="140">
        <f t="shared" si="0"/>
        <v>4298.33</v>
      </c>
      <c r="C29" s="140">
        <f>C11+(C17-C23)-1</f>
        <v>826.2399999999989</v>
      </c>
      <c r="D29" s="133">
        <f t="shared" si="1"/>
        <v>0</v>
      </c>
      <c r="E29" s="133">
        <f t="shared" si="1"/>
        <v>0</v>
      </c>
      <c r="F29" s="133">
        <f>F11+(F17-F23)</f>
        <v>0</v>
      </c>
      <c r="G29" s="133">
        <f>SUM(B29:F29)-1</f>
        <v>5123.569999999999</v>
      </c>
    </row>
    <row r="30" spans="1:9" ht="15.75" customHeight="1" thickBot="1">
      <c r="A30" s="57" t="s">
        <v>279</v>
      </c>
      <c r="B30" s="421">
        <f aca="true" t="shared" si="2" ref="B30:G30">SUM(B27:B29)</f>
        <v>3824221.2600000002</v>
      </c>
      <c r="C30" s="421">
        <f t="shared" si="2"/>
        <v>6687936.050000001</v>
      </c>
      <c r="D30" s="421">
        <f t="shared" si="2"/>
        <v>-253516.67999999996</v>
      </c>
      <c r="E30" s="421">
        <f t="shared" si="2"/>
        <v>-21171.019999999997</v>
      </c>
      <c r="F30" s="421">
        <f t="shared" si="2"/>
        <v>-154416.57</v>
      </c>
      <c r="G30" s="421">
        <f t="shared" si="2"/>
        <v>10083053.040000001</v>
      </c>
      <c r="H30" s="65"/>
      <c r="I30" s="58"/>
    </row>
    <row r="31" spans="1:9" ht="15.75" customHeight="1" thickTop="1">
      <c r="A31" s="57"/>
      <c r="B31" s="363"/>
      <c r="C31" s="363"/>
      <c r="D31" s="363"/>
      <c r="E31" s="363"/>
      <c r="F31" s="363"/>
      <c r="G31" s="363"/>
      <c r="H31" s="65"/>
      <c r="I31" s="58"/>
    </row>
    <row r="32" spans="1:9" ht="15.75" customHeight="1">
      <c r="A32" s="57"/>
      <c r="B32" s="363"/>
      <c r="C32" s="363"/>
      <c r="D32" s="363"/>
      <c r="E32" s="363"/>
      <c r="F32" s="363"/>
      <c r="G32" s="363"/>
      <c r="H32" s="65"/>
      <c r="I32" s="58"/>
    </row>
    <row r="33" spans="1:8" ht="30" customHeight="1">
      <c r="A33" s="57"/>
      <c r="B33" s="146" t="s">
        <v>30</v>
      </c>
      <c r="C33" s="146" t="s">
        <v>31</v>
      </c>
      <c r="D33" s="364" t="s">
        <v>27</v>
      </c>
      <c r="E33" s="141"/>
      <c r="F33" s="141"/>
      <c r="H33" s="59"/>
    </row>
    <row r="34" spans="1:6" ht="15.75" customHeight="1">
      <c r="A34" s="60" t="s">
        <v>5</v>
      </c>
      <c r="B34" s="133"/>
      <c r="C34" s="133"/>
      <c r="D34" s="142"/>
      <c r="E34" s="142"/>
      <c r="F34" s="142"/>
    </row>
    <row r="35" spans="1:6" ht="15.75" customHeight="1">
      <c r="A35" s="55" t="s">
        <v>1</v>
      </c>
      <c r="B35" s="418">
        <f>'[5]IBNR Calculation-p13'!C36</f>
        <v>884313.98</v>
      </c>
      <c r="C35" s="418">
        <f>'[5]IBNR Calculation-p13'!C30</f>
        <v>248176.33</v>
      </c>
      <c r="D35" s="418">
        <f>SUM(B35:C35)</f>
        <v>1132490.31</v>
      </c>
      <c r="E35" s="68"/>
      <c r="F35" s="68"/>
    </row>
    <row r="36" spans="1:6" ht="15.75" customHeight="1">
      <c r="A36" s="55" t="s">
        <v>2</v>
      </c>
      <c r="B36" s="327">
        <f>'[5]IBNR Calculation-p13'!C37</f>
        <v>292732.77</v>
      </c>
      <c r="C36" s="327">
        <f>'[5]IBNR Calculation-p13'!C31</f>
        <v>86482.32</v>
      </c>
      <c r="D36" s="68">
        <f>SUM(B36:C36)</f>
        <v>379215.09</v>
      </c>
      <c r="E36" s="365"/>
      <c r="F36" s="365"/>
    </row>
    <row r="37" spans="1:6" ht="15.75" customHeight="1">
      <c r="A37" s="55" t="s">
        <v>3</v>
      </c>
      <c r="B37" s="327">
        <f>'[5]IBNR Calculation-p13'!C38</f>
        <v>4297.33</v>
      </c>
      <c r="C37" s="327">
        <f>'[5]IBNR Calculation-p13'!C32</f>
        <v>1240.37</v>
      </c>
      <c r="D37" s="68">
        <f>SUM(B37:C37)</f>
        <v>5537.7</v>
      </c>
      <c r="E37" s="365"/>
      <c r="F37" s="365"/>
    </row>
    <row r="38" spans="1:6" ht="15.75" customHeight="1" thickBot="1">
      <c r="A38" s="57" t="s">
        <v>279</v>
      </c>
      <c r="B38" s="420">
        <f>SUM(B35:B37)</f>
        <v>1181344.08</v>
      </c>
      <c r="C38" s="420">
        <f>SUM(C35:C37)-1</f>
        <v>335898.02</v>
      </c>
      <c r="D38" s="420">
        <f>SUM(D35:D37)</f>
        <v>1517243.1</v>
      </c>
      <c r="E38" s="366"/>
      <c r="F38" s="366"/>
    </row>
    <row r="39" spans="1:8" ht="15.75" customHeight="1" thickTop="1">
      <c r="A39" s="57"/>
      <c r="B39" s="140"/>
      <c r="C39" s="140"/>
      <c r="D39" s="140"/>
      <c r="E39" s="144"/>
      <c r="F39" s="144"/>
      <c r="G39" s="141"/>
      <c r="H39" s="103"/>
    </row>
    <row r="40" spans="2:3" ht="15.75" customHeight="1">
      <c r="B40" s="133"/>
      <c r="C40" s="133"/>
    </row>
    <row r="41" spans="2:3" ht="15.75" customHeight="1">
      <c r="B41" s="133"/>
      <c r="C41" s="133"/>
    </row>
    <row r="42" spans="2:3" ht="15.75" customHeight="1">
      <c r="B42" s="133"/>
      <c r="C42" s="133"/>
    </row>
    <row r="43" spans="2:3" ht="15.75" customHeight="1">
      <c r="B43" s="133"/>
      <c r="C43" s="133"/>
    </row>
    <row r="44" spans="2:3" ht="15.75" customHeight="1">
      <c r="B44" s="133"/>
      <c r="C44" s="133"/>
    </row>
    <row r="45" spans="2:3" ht="15.75" customHeight="1">
      <c r="B45" s="133"/>
      <c r="C45" s="133"/>
    </row>
  </sheetData>
  <mergeCells count="4">
    <mergeCell ref="A2:G2"/>
    <mergeCell ref="A1:G1"/>
    <mergeCell ref="A3:G3"/>
    <mergeCell ref="A4:G4"/>
  </mergeCells>
  <printOptions horizontalCentered="1"/>
  <pageMargins left="0.5" right="0.5" top="0.5" bottom="0.5" header="0.5" footer="0"/>
  <pageSetup horizontalDpi="600" verticalDpi="600" orientation="landscape" scale="80" r:id="rId1"/>
  <headerFooter alignWithMargins="0">
    <oddFooter>&amp;CPage 10</oddFooter>
  </headerFooter>
</worksheet>
</file>

<file path=xl/worksheets/sheet13.xml><?xml version="1.0" encoding="utf-8"?>
<worksheet xmlns="http://schemas.openxmlformats.org/spreadsheetml/2006/main" xmlns:r="http://schemas.openxmlformats.org/officeDocument/2006/relationships">
  <dimension ref="A1:AJ79"/>
  <sheetViews>
    <sheetView zoomScale="75" zoomScaleNormal="75" workbookViewId="0" topLeftCell="A1">
      <selection activeCell="B2" sqref="B2"/>
    </sheetView>
  </sheetViews>
  <sheetFormatPr defaultColWidth="9.140625" defaultRowHeight="12.75"/>
  <cols>
    <col min="1" max="1" width="25.00390625" style="15" customWidth="1"/>
    <col min="2" max="3" width="17.7109375" style="86" customWidth="1"/>
    <col min="4" max="7" width="17.7109375" style="70" customWidth="1"/>
    <col min="8" max="9" width="17.7109375" style="15" customWidth="1"/>
    <col min="10" max="16384" width="9.140625" style="15" customWidth="1"/>
  </cols>
  <sheetData>
    <row r="1" spans="1:7" s="112" customFormat="1" ht="25.5" customHeight="1">
      <c r="A1" s="113" t="s">
        <v>177</v>
      </c>
      <c r="B1" s="123"/>
      <c r="C1" s="123"/>
      <c r="D1" s="159"/>
      <c r="E1" s="159"/>
      <c r="F1" s="160"/>
      <c r="G1" s="160"/>
    </row>
    <row r="2" spans="1:7" ht="18.75">
      <c r="A2" s="16"/>
      <c r="B2" s="150"/>
      <c r="C2" s="150"/>
      <c r="D2" s="150"/>
      <c r="E2" s="150"/>
      <c r="F2" s="124"/>
      <c r="G2" s="161"/>
    </row>
    <row r="3" spans="1:7" s="30" customFormat="1" ht="15.75" customHeight="1">
      <c r="A3" s="18" t="s">
        <v>6</v>
      </c>
      <c r="B3" s="372"/>
      <c r="C3" s="372"/>
      <c r="D3" s="373"/>
      <c r="E3" s="373"/>
      <c r="F3" s="374"/>
      <c r="G3" s="374"/>
    </row>
    <row r="4" spans="1:7" s="30" customFormat="1" ht="15.75" customHeight="1">
      <c r="A4" s="18" t="s">
        <v>7</v>
      </c>
      <c r="B4" s="372"/>
      <c r="C4" s="372"/>
      <c r="D4" s="373"/>
      <c r="E4" s="373"/>
      <c r="F4" s="374"/>
      <c r="G4" s="374"/>
    </row>
    <row r="5" spans="1:7" s="30" customFormat="1" ht="15.75" customHeight="1">
      <c r="A5" s="18" t="s">
        <v>132</v>
      </c>
      <c r="B5" s="372"/>
      <c r="C5" s="372"/>
      <c r="D5" s="373"/>
      <c r="E5" s="373"/>
      <c r="F5" s="374"/>
      <c r="G5" s="374"/>
    </row>
    <row r="6" spans="1:7" ht="15.75" customHeight="1">
      <c r="A6" s="14"/>
      <c r="D6" s="161"/>
      <c r="E6" s="161"/>
      <c r="F6" s="161"/>
      <c r="G6" s="161"/>
    </row>
    <row r="7" spans="1:7" ht="34.5" customHeight="1">
      <c r="A7" s="34"/>
      <c r="B7" s="126" t="s">
        <v>30</v>
      </c>
      <c r="C7" s="126" t="s">
        <v>31</v>
      </c>
      <c r="D7" s="162" t="s">
        <v>151</v>
      </c>
      <c r="E7" s="162" t="s">
        <v>165</v>
      </c>
      <c r="F7" s="162" t="s">
        <v>143</v>
      </c>
      <c r="G7" s="163" t="s">
        <v>178</v>
      </c>
    </row>
    <row r="8" spans="1:7" ht="45" customHeight="1">
      <c r="A8" s="62" t="s">
        <v>8</v>
      </c>
      <c r="B8" s="127"/>
      <c r="C8" s="127"/>
      <c r="G8" s="164"/>
    </row>
    <row r="9" spans="1:35" ht="15.75" customHeight="1">
      <c r="A9" s="15" t="s">
        <v>276</v>
      </c>
      <c r="B9" s="417">
        <f>'[5]Loss Expenses Paid QTD-16'!K34</f>
        <v>42116.67</v>
      </c>
      <c r="C9" s="417">
        <f>'[5]Loss Expenses Paid QTD-16'!K28</f>
        <v>177844.31</v>
      </c>
      <c r="D9" s="417">
        <f>'[5]Loss Expenses Paid QTD-16'!K22</f>
        <v>5985.51</v>
      </c>
      <c r="E9" s="417">
        <f>'[5]Loss Expenses Paid QTD-16'!K16</f>
        <v>513.63</v>
      </c>
      <c r="F9" s="417">
        <f>'[5]Loss Expenses Paid QTD-16'!K10</f>
        <v>4291.7699999999995</v>
      </c>
      <c r="G9" s="417">
        <f>SUM(B9:F9)</f>
        <v>230751.88999999998</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row>
    <row r="10" spans="1:35" s="22" customFormat="1" ht="15.75" customHeight="1">
      <c r="A10" s="23" t="s">
        <v>277</v>
      </c>
      <c r="B10" s="68">
        <f>'[5]Loss Expenses Paid QTD-16'!K35</f>
        <v>43991.28</v>
      </c>
      <c r="C10" s="68">
        <f>'[5]Loss Expenses Paid QTD-16'!K29</f>
        <v>60746.759999999995</v>
      </c>
      <c r="D10" s="68">
        <f>'[5]Loss Expenses Paid QTD-16'!K23</f>
        <v>4296.3</v>
      </c>
      <c r="E10" s="68">
        <f>'[5]Loss Expenses Paid QTD-16'!K17</f>
        <v>1121</v>
      </c>
      <c r="F10" s="68">
        <f>'[5]Loss Expenses Paid QTD-16'!K11</f>
        <v>362.45</v>
      </c>
      <c r="G10" s="68">
        <f>SUM(B10:F10)</f>
        <v>110517.79</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s="22" customFormat="1" ht="15.75" customHeight="1">
      <c r="A11" s="23" t="s">
        <v>278</v>
      </c>
      <c r="B11" s="68">
        <f>'[5]Loss Expenses Paid QTD-16'!K36</f>
        <v>0</v>
      </c>
      <c r="C11" s="68">
        <f>'[5]Loss Expenses Paid QTD-16'!K30</f>
        <v>0</v>
      </c>
      <c r="D11" s="68">
        <f>'[5]Loss Expenses Paid QTD-16'!K24</f>
        <v>0</v>
      </c>
      <c r="E11" s="68">
        <f>'[5]Loss Expenses Paid QTD-16'!K18</f>
        <v>0</v>
      </c>
      <c r="F11" s="68">
        <f>'[5]Loss Expenses Paid QTD-16'!K12</f>
        <v>0</v>
      </c>
      <c r="G11" s="68">
        <f>SUM(B11:F11)</f>
        <v>0</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1:35" s="22" customFormat="1" ht="15.75" customHeight="1" thickBot="1">
      <c r="A12" s="63" t="s">
        <v>279</v>
      </c>
      <c r="B12" s="156">
        <f aca="true" t="shared" si="0" ref="B12:G12">SUM(B9:B11)</f>
        <v>86107.95</v>
      </c>
      <c r="C12" s="156">
        <f t="shared" si="0"/>
        <v>238591.07</v>
      </c>
      <c r="D12" s="156">
        <f t="shared" si="0"/>
        <v>10281.810000000001</v>
      </c>
      <c r="E12" s="156">
        <f t="shared" si="0"/>
        <v>1634.63</v>
      </c>
      <c r="F12" s="156">
        <f t="shared" si="0"/>
        <v>4654.219999999999</v>
      </c>
      <c r="G12" s="72">
        <f t="shared" si="0"/>
        <v>341269.68</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2:35" s="22" customFormat="1" ht="15.75" customHeight="1" thickTop="1">
      <c r="B13" s="69"/>
      <c r="C13" s="69"/>
      <c r="D13" s="68"/>
      <c r="E13" s="68"/>
      <c r="F13" s="68"/>
      <c r="G13" s="65"/>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s="22" customFormat="1" ht="45" customHeight="1">
      <c r="A14" s="446" t="s">
        <v>295</v>
      </c>
      <c r="B14" s="69"/>
      <c r="C14" s="69"/>
      <c r="D14" s="68"/>
      <c r="E14" s="68"/>
      <c r="F14" s="68"/>
      <c r="G14" s="158"/>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s="22" customFormat="1" ht="15.75" customHeight="1">
      <c r="A15" s="15" t="s">
        <v>276</v>
      </c>
      <c r="B15" s="69">
        <f>'Loss Expenses YTD-p12'!B15</f>
        <v>181133.75</v>
      </c>
      <c r="C15" s="69">
        <f>'Loss Expenses YTD-p12'!C15</f>
        <v>269698.94999999995</v>
      </c>
      <c r="D15" s="68">
        <f>'Loss Expenses YTD-p12'!D15</f>
        <v>11238.67</v>
      </c>
      <c r="E15" s="68">
        <f>'Loss Expenses YTD-p12'!E15</f>
        <v>10070.58</v>
      </c>
      <c r="F15" s="68">
        <f>'Loss Expenses YTD-p12'!F15</f>
        <v>3075.8600000000006</v>
      </c>
      <c r="G15" s="68">
        <f>SUM(B15:F15)</f>
        <v>475217.80999999994</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1:35" s="22" customFormat="1" ht="15.75" customHeight="1">
      <c r="A16" s="23" t="s">
        <v>277</v>
      </c>
      <c r="B16" s="69">
        <f>'Loss Expenses YTD-p12'!B16</f>
        <v>23721.940000000002</v>
      </c>
      <c r="C16" s="69">
        <f>'Loss Expenses YTD-p12'!C16</f>
        <v>21665.05</v>
      </c>
      <c r="D16" s="68">
        <f>'Loss Expenses YTD-p12'!D16</f>
        <v>4119.45</v>
      </c>
      <c r="E16" s="68">
        <f>'Loss Expenses YTD-p12'!E16</f>
        <v>0</v>
      </c>
      <c r="F16" s="68">
        <f>'Loss Expenses YTD-p12'!F16</f>
        <v>0</v>
      </c>
      <c r="G16" s="68">
        <f>SUM(B16:F16)</f>
        <v>49506.44</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row>
    <row r="17" spans="1:35" s="22" customFormat="1" ht="15.75" customHeight="1">
      <c r="A17" s="23" t="s">
        <v>278</v>
      </c>
      <c r="B17" s="69">
        <f>'Loss Expenses YTD-p12'!B17</f>
        <v>0</v>
      </c>
      <c r="C17" s="69">
        <f>'Loss Expenses YTD-p12'!C17</f>
        <v>0</v>
      </c>
      <c r="D17" s="68">
        <f>'Loss Expenses YTD-p12'!D17</f>
        <v>0</v>
      </c>
      <c r="E17" s="68">
        <f>'Loss Expenses YTD-p12'!E17</f>
        <v>0</v>
      </c>
      <c r="F17" s="68">
        <f>'Loss Expenses YTD-p12'!F17</f>
        <v>0</v>
      </c>
      <c r="G17" s="68">
        <f>SUM(B17:F17)</f>
        <v>0</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row>
    <row r="18" spans="1:35" s="22" customFormat="1" ht="15.75" customHeight="1" thickBot="1">
      <c r="A18" s="63" t="s">
        <v>279</v>
      </c>
      <c r="B18" s="80">
        <f>SUM(B15:B17)</f>
        <v>204855.69</v>
      </c>
      <c r="C18" s="80">
        <f>SUM(C15:C17)</f>
        <v>291363.99999999994</v>
      </c>
      <c r="D18" s="156">
        <f>SUM(D15:D17)</f>
        <v>15358.119999999999</v>
      </c>
      <c r="E18" s="156">
        <f>SUM(E15:E17)</f>
        <v>10070.58</v>
      </c>
      <c r="F18" s="156">
        <f>SUM(F15:F17)</f>
        <v>3075.8600000000006</v>
      </c>
      <c r="G18" s="72">
        <f>SUM(B18:F18)</f>
        <v>524724.25</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2:35" s="22" customFormat="1" ht="15.75" customHeight="1" thickTop="1">
      <c r="B19" s="69"/>
      <c r="C19" s="69"/>
      <c r="D19" s="68"/>
      <c r="E19" s="68"/>
      <c r="F19" s="68"/>
      <c r="G19" s="65"/>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s="22" customFormat="1" ht="45" customHeight="1">
      <c r="A20" s="446" t="s">
        <v>294</v>
      </c>
      <c r="B20" s="128"/>
      <c r="C20" s="128"/>
      <c r="D20" s="165"/>
      <c r="E20" s="165"/>
      <c r="F20" s="165"/>
      <c r="G20" s="158"/>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22" customFormat="1" ht="15.75" customHeight="1">
      <c r="A21" s="15" t="s">
        <v>276</v>
      </c>
      <c r="B21" s="69">
        <f>'[7]Loss Expenses YTD-p12'!B15</f>
        <v>95452.31</v>
      </c>
      <c r="C21" s="69">
        <f>'[7]Loss Expenses YTD-p12'!C15</f>
        <v>312223.12</v>
      </c>
      <c r="D21" s="68">
        <f>'[7]Loss Expenses YTD-p12'!D15</f>
        <v>11790.81</v>
      </c>
      <c r="E21" s="68">
        <f>'[7]Loss Expenses YTD-p12'!E15</f>
        <v>9120.84</v>
      </c>
      <c r="F21" s="68">
        <f>'[7]Loss Expenses YTD-p12'!F15</f>
        <v>9822.19</v>
      </c>
      <c r="G21" s="68">
        <f>SUM(B21:F21)</f>
        <v>438409.27</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s="22" customFormat="1" ht="15.75" customHeight="1">
      <c r="A22" s="23" t="s">
        <v>9</v>
      </c>
      <c r="B22" s="69">
        <f>'[7]Loss Expenses YTD-p12'!B16</f>
        <v>8094.25</v>
      </c>
      <c r="C22" s="69">
        <f>'[7]Loss Expenses YTD-p12'!C16</f>
        <v>25347.71</v>
      </c>
      <c r="D22" s="68">
        <f>'[7]Loss Expenses YTD-p12'!D16</f>
        <v>2170.7799999999997</v>
      </c>
      <c r="E22" s="68">
        <f>'[7]Loss Expenses YTD-p12'!E16</f>
        <v>0.77</v>
      </c>
      <c r="F22" s="68">
        <f>'[7]Loss Expenses YTD-p12'!F16</f>
        <v>41.00999999999962</v>
      </c>
      <c r="G22" s="68">
        <f>SUM(B22:F22)</f>
        <v>35654.52</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row>
    <row r="23" spans="1:35" s="22" customFormat="1" ht="15.75" customHeight="1">
      <c r="A23" s="23" t="s">
        <v>278</v>
      </c>
      <c r="B23" s="69">
        <f>'[7]Loss Expenses YTD-p12'!B17</f>
        <v>0</v>
      </c>
      <c r="C23" s="69">
        <f>'[7]Loss Expenses YTD-p12'!C17</f>
        <v>0</v>
      </c>
      <c r="D23" s="68">
        <f>'[7]Loss Expenses YTD-p12'!D17</f>
        <v>0</v>
      </c>
      <c r="E23" s="68">
        <f>'[7]Loss Expenses YTD-p12'!E17</f>
        <v>0</v>
      </c>
      <c r="F23" s="68">
        <f>'[7]Loss Expenses YTD-p12'!F17</f>
        <v>0</v>
      </c>
      <c r="G23" s="68">
        <f>SUM(B23:F23)</f>
        <v>0</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s="22" customFormat="1" ht="15.75" customHeight="1" thickBot="1">
      <c r="A24" s="63" t="s">
        <v>279</v>
      </c>
      <c r="B24" s="80">
        <f>SUM(B21:B23)-1</f>
        <v>103545.56</v>
      </c>
      <c r="C24" s="80">
        <f>SUM(C21:C23)</f>
        <v>337570.83</v>
      </c>
      <c r="D24" s="156">
        <f>SUM(D21:D23)</f>
        <v>13961.59</v>
      </c>
      <c r="E24" s="156">
        <f>SUM(E21:E23)</f>
        <v>9121.61</v>
      </c>
      <c r="F24" s="156">
        <f>SUM(F21:F23)</f>
        <v>9863.2</v>
      </c>
      <c r="G24" s="72">
        <f>SUM(G21:G23)</f>
        <v>474063.79000000004</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2:35" s="121" customFormat="1" ht="15.75" customHeight="1" thickTop="1">
      <c r="B25" s="128"/>
      <c r="C25" s="128"/>
      <c r="D25" s="128"/>
      <c r="E25" s="128"/>
      <c r="F25" s="128"/>
      <c r="G25" s="128"/>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5" s="22" customFormat="1" ht="45" customHeight="1">
      <c r="A26" s="446" t="s">
        <v>125</v>
      </c>
      <c r="B26" s="69"/>
      <c r="C26" s="69"/>
      <c r="D26" s="165"/>
      <c r="E26" s="165"/>
      <c r="F26" s="165"/>
      <c r="G26" s="15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s="22" customFormat="1" ht="15.75" customHeight="1">
      <c r="A27" s="22" t="s">
        <v>276</v>
      </c>
      <c r="B27" s="68">
        <f aca="true" t="shared" si="1" ref="B27:C29">B9+B15-B21</f>
        <v>127798.10999999999</v>
      </c>
      <c r="C27" s="68">
        <f t="shared" si="1"/>
        <v>135320.13999999996</v>
      </c>
      <c r="D27" s="68">
        <f aca="true" t="shared" si="2" ref="D27:F29">D9+D15-D21</f>
        <v>5433.370000000001</v>
      </c>
      <c r="E27" s="68">
        <f t="shared" si="2"/>
        <v>1463.369999999999</v>
      </c>
      <c r="F27" s="68">
        <f t="shared" si="2"/>
        <v>-2454.5600000000004</v>
      </c>
      <c r="G27" s="68">
        <f>SUM(B27:F27)</f>
        <v>267560.42999999993</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s="22" customFormat="1" ht="15.75" customHeight="1">
      <c r="A28" s="23" t="s">
        <v>277</v>
      </c>
      <c r="B28" s="68">
        <f>B10+B16-B22</f>
        <v>59618.97</v>
      </c>
      <c r="C28" s="68">
        <f>C10+C16-C22</f>
        <v>57064.1</v>
      </c>
      <c r="D28" s="68">
        <f>D10+D16-D22</f>
        <v>6244.97</v>
      </c>
      <c r="E28" s="68">
        <f t="shared" si="2"/>
        <v>1120.23</v>
      </c>
      <c r="F28" s="68">
        <f t="shared" si="2"/>
        <v>321.4400000000004</v>
      </c>
      <c r="G28" s="68">
        <f>SUM(B28:F28)</f>
        <v>124369.71</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s="22" customFormat="1" ht="15.75" customHeight="1">
      <c r="A29" s="23" t="s">
        <v>278</v>
      </c>
      <c r="B29" s="68">
        <f t="shared" si="1"/>
        <v>0</v>
      </c>
      <c r="C29" s="68">
        <f t="shared" si="1"/>
        <v>0</v>
      </c>
      <c r="D29" s="68">
        <f t="shared" si="2"/>
        <v>0</v>
      </c>
      <c r="E29" s="68">
        <f t="shared" si="2"/>
        <v>0</v>
      </c>
      <c r="F29" s="68">
        <f t="shared" si="2"/>
        <v>0</v>
      </c>
      <c r="G29" s="68">
        <f>SUM(B29:F29)</f>
        <v>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ht="15.75" customHeight="1" thickBot="1">
      <c r="A30" s="37" t="s">
        <v>279</v>
      </c>
      <c r="B30" s="210">
        <f aca="true" t="shared" si="3" ref="B30:G30">SUM(B27:B29)</f>
        <v>187417.08</v>
      </c>
      <c r="C30" s="210">
        <f t="shared" si="3"/>
        <v>192384.23999999996</v>
      </c>
      <c r="D30" s="210">
        <f t="shared" si="3"/>
        <v>11678.34</v>
      </c>
      <c r="E30" s="210">
        <f>SUM(E27:E29)-1</f>
        <v>2582.599999999999</v>
      </c>
      <c r="F30" s="210">
        <f>SUM(F27:F29)-1</f>
        <v>-2134.12</v>
      </c>
      <c r="G30" s="210">
        <f t="shared" si="3"/>
        <v>391930.13999999996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row>
    <row r="31" spans="6:36" ht="15.75" customHeight="1" thickTop="1">
      <c r="F31" s="68"/>
      <c r="G31" s="68"/>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2:36" s="70" customFormat="1" ht="15.75" customHeight="1">
      <c r="B32" s="86"/>
      <c r="C32" s="86"/>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6:36" ht="15.75" customHeight="1">
      <c r="F33" s="68"/>
      <c r="G33" s="68"/>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6:36" ht="15.75" customHeight="1">
      <c r="F34" s="68"/>
      <c r="G34" s="68"/>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6:36" ht="15.75" customHeight="1">
      <c r="F35" s="68"/>
      <c r="G35" s="68"/>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6:36" ht="15.75">
      <c r="F36" s="68"/>
      <c r="G36" s="68"/>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row>
    <row r="37" spans="6:36" ht="15.75">
      <c r="F37" s="68"/>
      <c r="G37" s="68"/>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row>
    <row r="38" spans="6:36" ht="15.75">
      <c r="F38" s="68"/>
      <c r="G38" s="68"/>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row>
    <row r="39" spans="6:36" ht="15.75">
      <c r="F39" s="68"/>
      <c r="G39" s="68"/>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row>
    <row r="40" spans="6:36" ht="15.75">
      <c r="F40" s="68"/>
      <c r="G40" s="68"/>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6:36" ht="15.75">
      <c r="F41" s="68"/>
      <c r="G41" s="68"/>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6:36" ht="15.75">
      <c r="F42" s="68"/>
      <c r="G42" s="68"/>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6:36" ht="15.75">
      <c r="F43" s="68"/>
      <c r="G43" s="68"/>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6:36" ht="15.75">
      <c r="F44" s="68"/>
      <c r="G44" s="68"/>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row r="45" spans="6:36" ht="15.75">
      <c r="F45" s="68"/>
      <c r="G45" s="68"/>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row>
    <row r="46" spans="6:36" ht="15.75">
      <c r="F46" s="68"/>
      <c r="G46" s="68"/>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row>
    <row r="47" spans="6:36" ht="15.75">
      <c r="F47" s="68"/>
      <c r="G47" s="68"/>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6:36" ht="15.75">
      <c r="F48" s="68"/>
      <c r="G48" s="68"/>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row>
    <row r="49" spans="6:36" ht="15.75">
      <c r="F49" s="68"/>
      <c r="G49" s="68"/>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row>
    <row r="50" spans="6:36" ht="15.75">
      <c r="F50" s="68"/>
      <c r="G50" s="68"/>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row>
    <row r="51" spans="6:36" ht="15.75">
      <c r="F51" s="68"/>
      <c r="G51" s="68"/>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row>
    <row r="52" spans="6:36" ht="15.75">
      <c r="F52" s="68"/>
      <c r="G52" s="68"/>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row>
    <row r="53" spans="6:36" ht="15.75">
      <c r="F53" s="68"/>
      <c r="G53" s="68"/>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6:36" ht="15.75">
      <c r="F54" s="68"/>
      <c r="G54" s="68"/>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row>
    <row r="55" spans="6:36" ht="15.75">
      <c r="F55" s="68"/>
      <c r="G55" s="68"/>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row>
    <row r="56" spans="6:36" ht="15.75">
      <c r="F56" s="68"/>
      <c r="G56" s="68"/>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row>
    <row r="57" spans="6:36" ht="15.75">
      <c r="F57" s="68"/>
      <c r="G57" s="68"/>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row>
    <row r="58" spans="6:36" ht="15.75">
      <c r="F58" s="68"/>
      <c r="G58" s="68"/>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row>
    <row r="59" spans="6:36" ht="15.75">
      <c r="F59" s="68"/>
      <c r="G59" s="68"/>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row>
    <row r="60" spans="6:36" ht="15.75">
      <c r="F60" s="68"/>
      <c r="G60" s="68"/>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row>
    <row r="61" spans="6:36" ht="15.75">
      <c r="F61" s="68"/>
      <c r="G61" s="68"/>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row>
    <row r="62" spans="6:36" ht="15.75">
      <c r="F62" s="68"/>
      <c r="G62" s="68"/>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row>
    <row r="63" spans="6:36" ht="15.75">
      <c r="F63" s="68"/>
      <c r="G63" s="68"/>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row>
    <row r="64" spans="6:36" ht="15.75">
      <c r="F64" s="68"/>
      <c r="G64" s="68"/>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6:36" ht="15.75">
      <c r="F65" s="68"/>
      <c r="G65" s="68"/>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6:36" ht="15.75">
      <c r="F66" s="68"/>
      <c r="G66" s="68"/>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row>
    <row r="67" spans="6:36" ht="15.75">
      <c r="F67" s="68"/>
      <c r="G67" s="68"/>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row>
    <row r="68" spans="6:36" ht="15.75">
      <c r="F68" s="68"/>
      <c r="G68" s="68"/>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row>
    <row r="69" spans="6:36" ht="15.75">
      <c r="F69" s="68"/>
      <c r="G69" s="68"/>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row>
    <row r="70" spans="6:36" ht="15.75">
      <c r="F70" s="68"/>
      <c r="G70" s="68"/>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row>
    <row r="71" spans="6:36" ht="15.75">
      <c r="F71" s="68"/>
      <c r="G71" s="68"/>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row>
    <row r="72" spans="6:36" ht="15.75">
      <c r="F72" s="68"/>
      <c r="G72" s="68"/>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spans="6:36" ht="15.75">
      <c r="F73" s="68"/>
      <c r="G73" s="68"/>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6:36" ht="15.75">
      <c r="F74" s="68"/>
      <c r="G74" s="68"/>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spans="6:36" ht="15.75">
      <c r="F75" s="68"/>
      <c r="G75" s="68"/>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row>
    <row r="76" spans="6:36" ht="15.75">
      <c r="F76" s="68"/>
      <c r="G76" s="68"/>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row>
    <row r="77" spans="6:36" ht="15.75">
      <c r="F77" s="68"/>
      <c r="G77" s="68"/>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row>
    <row r="78" spans="6:36" ht="15.75">
      <c r="F78" s="68"/>
      <c r="G78" s="68"/>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row>
    <row r="79" spans="6:36" ht="15.75">
      <c r="F79" s="68"/>
      <c r="G79" s="68"/>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row>
  </sheetData>
  <printOptions horizontalCentered="1"/>
  <pageMargins left="0.5" right="0.5" top="0.5" bottom="0.5" header="0.5" footer="0"/>
  <pageSetup horizontalDpi="300" verticalDpi="300" orientation="landscape" scale="80" r:id="rId1"/>
  <headerFooter alignWithMargins="0">
    <oddFooter>&amp;CPage 11
</oddFooter>
  </headerFooter>
</worksheet>
</file>

<file path=xl/worksheets/sheet14.xml><?xml version="1.0" encoding="utf-8"?>
<worksheet xmlns="http://schemas.openxmlformats.org/spreadsheetml/2006/main" xmlns:r="http://schemas.openxmlformats.org/officeDocument/2006/relationships">
  <dimension ref="A1:AM79"/>
  <sheetViews>
    <sheetView zoomScale="75" zoomScaleNormal="75" workbookViewId="0" topLeftCell="A12">
      <selection activeCell="G12" sqref="G12"/>
    </sheetView>
  </sheetViews>
  <sheetFormatPr defaultColWidth="9.140625" defaultRowHeight="12.75"/>
  <cols>
    <col min="1" max="1" width="25.00390625" style="15" customWidth="1"/>
    <col min="2" max="2" width="17.7109375" style="24" customWidth="1"/>
    <col min="3" max="3" width="17.7109375" style="338" customWidth="1"/>
    <col min="4" max="7" width="17.7109375" style="342" customWidth="1"/>
    <col min="8" max="8" width="17.7109375" style="24" customWidth="1"/>
    <col min="9" max="9" width="17.7109375" style="15" customWidth="1"/>
    <col min="10" max="10" width="9.57421875" style="15" bestFit="1" customWidth="1"/>
    <col min="11" max="16384" width="9.140625" style="15" customWidth="1"/>
  </cols>
  <sheetData>
    <row r="1" spans="1:7" s="112" customFormat="1" ht="25.5" customHeight="1">
      <c r="A1" s="113" t="s">
        <v>177</v>
      </c>
      <c r="B1" s="328"/>
      <c r="C1" s="329"/>
      <c r="D1" s="330"/>
      <c r="E1" s="330"/>
      <c r="F1" s="331"/>
      <c r="G1" s="331"/>
    </row>
    <row r="2" spans="1:8" ht="18.75" customHeight="1">
      <c r="A2" s="16"/>
      <c r="B2" s="332"/>
      <c r="C2" s="333"/>
      <c r="D2" s="333"/>
      <c r="E2" s="333"/>
      <c r="F2" s="334"/>
      <c r="G2" s="335"/>
      <c r="H2" s="15"/>
    </row>
    <row r="3" spans="1:7" s="30" customFormat="1" ht="15.75" customHeight="1">
      <c r="A3" s="18" t="s">
        <v>6</v>
      </c>
      <c r="B3" s="367"/>
      <c r="C3" s="368"/>
      <c r="D3" s="369"/>
      <c r="E3" s="369"/>
      <c r="F3" s="370"/>
      <c r="G3" s="370"/>
    </row>
    <row r="4" spans="1:7" s="30" customFormat="1" ht="15.75" customHeight="1">
      <c r="A4" s="18" t="s">
        <v>7</v>
      </c>
      <c r="B4" s="367"/>
      <c r="C4" s="368"/>
      <c r="D4" s="369"/>
      <c r="E4" s="369"/>
      <c r="F4" s="370"/>
      <c r="G4" s="370"/>
    </row>
    <row r="5" spans="1:7" s="30" customFormat="1" ht="15.75" customHeight="1">
      <c r="A5" s="18" t="s">
        <v>131</v>
      </c>
      <c r="B5" s="367"/>
      <c r="C5" s="368"/>
      <c r="D5" s="369"/>
      <c r="E5" s="369"/>
      <c r="F5" s="370"/>
      <c r="G5" s="370"/>
    </row>
    <row r="6" spans="1:8" ht="15.75" customHeight="1">
      <c r="A6" s="14"/>
      <c r="B6" s="337"/>
      <c r="D6" s="335"/>
      <c r="E6" s="335"/>
      <c r="F6" s="335"/>
      <c r="G6" s="335"/>
      <c r="H6" s="15"/>
    </row>
    <row r="7" spans="1:8" ht="34.5" customHeight="1">
      <c r="A7" s="34"/>
      <c r="B7" s="339" t="s">
        <v>30</v>
      </c>
      <c r="C7" s="339" t="s">
        <v>31</v>
      </c>
      <c r="D7" s="340" t="s">
        <v>151</v>
      </c>
      <c r="E7" s="340" t="s">
        <v>165</v>
      </c>
      <c r="F7" s="340" t="s">
        <v>143</v>
      </c>
      <c r="G7" s="413" t="s">
        <v>178</v>
      </c>
      <c r="H7" s="15"/>
    </row>
    <row r="8" spans="1:8" ht="45" customHeight="1">
      <c r="A8" s="62" t="s">
        <v>121</v>
      </c>
      <c r="B8" s="341"/>
      <c r="C8" s="341"/>
      <c r="G8" s="343"/>
      <c r="H8" s="15"/>
    </row>
    <row r="9" spans="1:38" ht="15.75" customHeight="1">
      <c r="A9" s="15" t="s">
        <v>276</v>
      </c>
      <c r="B9" s="231">
        <f>'[5]Loss Expenses Paid YTD-17'!K34</f>
        <v>65209.600000000006</v>
      </c>
      <c r="C9" s="231">
        <f>'[5]Loss Expenses Paid YTD-17'!K28</f>
        <v>625853.11</v>
      </c>
      <c r="D9" s="231">
        <f>'[5]Loss Expenses Paid YTD-17'!K22</f>
        <v>67384.51000000001</v>
      </c>
      <c r="E9" s="231">
        <f>'[5]Loss Expenses Paid YTD-17'!K16</f>
        <v>6615.72</v>
      </c>
      <c r="F9" s="231">
        <f>'[5]Loss Expenses Paid YTD-17'!K10</f>
        <v>22298.11</v>
      </c>
      <c r="G9" s="231">
        <f>SUM(B9:F9)</f>
        <v>787361.0499999999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s="22" customFormat="1" ht="15.75" customHeight="1">
      <c r="A10" s="23" t="s">
        <v>277</v>
      </c>
      <c r="B10" s="347">
        <f>'[5]Loss Expenses Paid YTD-17'!K35</f>
        <v>64970.3</v>
      </c>
      <c r="C10" s="347">
        <f>'[5]Loss Expenses Paid YTD-17'!K29</f>
        <v>258746.26</v>
      </c>
      <c r="D10" s="347">
        <f>'[5]Loss Expenses Paid YTD-17'!K23</f>
        <v>34152.41</v>
      </c>
      <c r="E10" s="347">
        <f>'[5]Loss Expenses Paid YTD-17'!K17</f>
        <v>4585.02</v>
      </c>
      <c r="F10" s="347">
        <f>'[5]Loss Expenses Paid YTD-17'!K11</f>
        <v>2209.7799999999997</v>
      </c>
      <c r="G10" s="347">
        <f>SUM(B10:F10)</f>
        <v>364663.77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38" s="22" customFormat="1" ht="15.75" customHeight="1">
      <c r="A11" s="23" t="s">
        <v>278</v>
      </c>
      <c r="B11" s="346">
        <f>'[5]Loss Expenses Paid YTD-17'!K36</f>
        <v>0</v>
      </c>
      <c r="C11" s="347">
        <f>'[5]Loss Expenses Paid YTD-17'!K30</f>
        <v>1850.9</v>
      </c>
      <c r="D11" s="346">
        <f>'[5]Loss Expenses Paid YTD-17'!K24</f>
        <v>0</v>
      </c>
      <c r="E11" s="346">
        <f>'[5]Loss Expenses Paid YTD-17'!K18</f>
        <v>0</v>
      </c>
      <c r="F11" s="346">
        <f>'[5]Loss Expenses Paid YTD-17'!K12</f>
        <v>0</v>
      </c>
      <c r="G11" s="347">
        <f>SUM(B11:F11)</f>
        <v>1850.9</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row>
    <row r="12" spans="1:38" s="22" customFormat="1" ht="15.75" customHeight="1" thickBot="1">
      <c r="A12" s="63" t="s">
        <v>279</v>
      </c>
      <c r="B12" s="414">
        <f>SUM(B9:B11)</f>
        <v>130179.90000000001</v>
      </c>
      <c r="C12" s="414">
        <f>SUM(C9:C11)</f>
        <v>886450.27</v>
      </c>
      <c r="D12" s="414">
        <f>SUM(D9:D11)</f>
        <v>101536.92000000001</v>
      </c>
      <c r="E12" s="414">
        <f>SUM(E9:E11)</f>
        <v>11200.740000000002</v>
      </c>
      <c r="F12" s="414">
        <f>SUM(F9:F11)</f>
        <v>24507.89</v>
      </c>
      <c r="G12" s="348">
        <f>SUM(B12:F12)</f>
        <v>1153875.72</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row>
    <row r="13" spans="2:38" s="22" customFormat="1" ht="15.75" customHeight="1" thickTop="1">
      <c r="B13" s="232"/>
      <c r="C13" s="232"/>
      <c r="D13" s="231"/>
      <c r="E13" s="231"/>
      <c r="F13" s="231"/>
      <c r="G13" s="23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row>
    <row r="14" spans="1:38" s="22" customFormat="1" ht="45" customHeight="1">
      <c r="A14" s="446" t="s">
        <v>296</v>
      </c>
      <c r="B14" s="232"/>
      <c r="C14" s="232"/>
      <c r="D14" s="231"/>
      <c r="E14" s="231"/>
      <c r="F14" s="231"/>
      <c r="G14" s="23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row>
    <row r="15" spans="1:38" s="22" customFormat="1" ht="15.75" customHeight="1">
      <c r="A15" s="15" t="s">
        <v>276</v>
      </c>
      <c r="B15" s="347">
        <f>'[5]Calculate Unpaid Losses-p14'!B30</f>
        <v>181133.75</v>
      </c>
      <c r="C15" s="347">
        <f>'[5]Calculate Unpaid Losses-p14'!C30</f>
        <v>269698.94999999995</v>
      </c>
      <c r="D15" s="347">
        <f>'[5]Calculate Unpaid Losses-p14'!D30</f>
        <v>11238.67</v>
      </c>
      <c r="E15" s="347">
        <f>'[5]Calculate Unpaid Losses-p14'!E30</f>
        <v>10070.58</v>
      </c>
      <c r="F15" s="347">
        <f>'[5]Calculate Unpaid Losses-p14'!F30</f>
        <v>3075.8600000000006</v>
      </c>
      <c r="G15" s="347">
        <f>SUM(B15:F15)</f>
        <v>475217.80999999994</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s="22" customFormat="1" ht="15.75" customHeight="1">
      <c r="A16" s="23" t="s">
        <v>277</v>
      </c>
      <c r="B16" s="347">
        <f>'[5]Calculate Unpaid Losses-p14'!B31</f>
        <v>23721.940000000002</v>
      </c>
      <c r="C16" s="347">
        <f>'[5]Calculate Unpaid Losses-p14'!C31</f>
        <v>21665.05</v>
      </c>
      <c r="D16" s="347">
        <f>'[5]Calculate Unpaid Losses-p14'!D31+1</f>
        <v>4119.45</v>
      </c>
      <c r="E16" s="68">
        <v>0</v>
      </c>
      <c r="F16" s="68">
        <v>0</v>
      </c>
      <c r="G16" s="347">
        <f>SUM(B16:F16)</f>
        <v>49506.44</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s="22" customFormat="1" ht="15.75" customHeight="1">
      <c r="A17" s="23" t="s">
        <v>278</v>
      </c>
      <c r="B17" s="346">
        <f>'[5]Calculate Unpaid Losses-p14'!B32</f>
        <v>0</v>
      </c>
      <c r="C17" s="346">
        <f>'[5]Calculate Unpaid Losses-p14'!C32</f>
        <v>0</v>
      </c>
      <c r="D17" s="346">
        <f>'[5]Calculate Unpaid Losses-p14'!D32</f>
        <v>0</v>
      </c>
      <c r="E17" s="346">
        <f>'[5]Calculate Unpaid Losses-p14'!E32</f>
        <v>0</v>
      </c>
      <c r="F17" s="346">
        <f>'[5]Calculate Unpaid Losses-p14'!F32</f>
        <v>0</v>
      </c>
      <c r="G17" s="347">
        <f>SUM(B17:F17)</f>
        <v>0</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s="22" customFormat="1" ht="15.75" customHeight="1" thickBot="1">
      <c r="A18" s="63" t="s">
        <v>279</v>
      </c>
      <c r="B18" s="415">
        <f aca="true" t="shared" si="0" ref="B18:G18">SUM(B15:B17)</f>
        <v>204855.69</v>
      </c>
      <c r="C18" s="415">
        <f t="shared" si="0"/>
        <v>291363.99999999994</v>
      </c>
      <c r="D18" s="415">
        <f t="shared" si="0"/>
        <v>15358.119999999999</v>
      </c>
      <c r="E18" s="415">
        <f t="shared" si="0"/>
        <v>10070.58</v>
      </c>
      <c r="F18" s="415">
        <f t="shared" si="0"/>
        <v>3075.8600000000006</v>
      </c>
      <c r="G18" s="348">
        <f t="shared" si="0"/>
        <v>524724.25</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2:38" s="22" customFormat="1" ht="15.75" customHeight="1" thickTop="1">
      <c r="B19" s="232"/>
      <c r="C19" s="232"/>
      <c r="D19" s="231"/>
      <c r="E19" s="231"/>
      <c r="F19" s="231"/>
      <c r="G19" s="23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row>
    <row r="20" spans="1:38" s="22" customFormat="1" ht="45" customHeight="1">
      <c r="A20" s="446" t="s">
        <v>120</v>
      </c>
      <c r="B20" s="344"/>
      <c r="C20" s="344"/>
      <c r="D20" s="345"/>
      <c r="E20" s="345"/>
      <c r="F20" s="345"/>
      <c r="G20" s="23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row>
    <row r="21" spans="1:38" s="22" customFormat="1" ht="15.75" customHeight="1">
      <c r="A21" s="15" t="s">
        <v>276</v>
      </c>
      <c r="B21" s="346">
        <f>'[7]Loss Expenses YTD-p12'!B21</f>
        <v>0</v>
      </c>
      <c r="C21" s="347">
        <f>'[7]Loss Expenses YTD-p12'!C21</f>
        <v>317462.7</v>
      </c>
      <c r="D21" s="347">
        <f>'[7]Loss Expenses YTD-p12'!D21</f>
        <v>88557.88</v>
      </c>
      <c r="E21" s="347">
        <f>'[7]Loss Expenses YTD-p12'!E21</f>
        <v>19238.94</v>
      </c>
      <c r="F21" s="347">
        <f>'[7]Loss Expenses YTD-p12'!F21</f>
        <v>8488.33</v>
      </c>
      <c r="G21" s="347">
        <f>SUM(B21:F21)</f>
        <v>433747.85000000003</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row>
    <row r="22" spans="1:38" s="22" customFormat="1" ht="15.75" customHeight="1">
      <c r="A22" s="23" t="s">
        <v>9</v>
      </c>
      <c r="B22" s="346">
        <f>'[7]Loss Expenses YTD-p12'!B22</f>
        <v>0</v>
      </c>
      <c r="C22" s="347">
        <f>'[7]Loss Expenses YTD-p12'!C22</f>
        <v>25507.54</v>
      </c>
      <c r="D22" s="347">
        <f>'[7]Loss Expenses YTD-p12'!D22</f>
        <v>15153.62</v>
      </c>
      <c r="E22" s="347">
        <f>'[7]Loss Expenses YTD-p12'!E22</f>
        <v>-109.2</v>
      </c>
      <c r="F22" s="347">
        <f>'[7]Loss Expenses YTD-p12'!F22</f>
        <v>259.41</v>
      </c>
      <c r="G22" s="347">
        <f>SUM(B22:F22)</f>
        <v>40811.37000000001</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row>
    <row r="23" spans="1:38" s="22" customFormat="1" ht="15.75" customHeight="1">
      <c r="A23" s="23" t="s">
        <v>278</v>
      </c>
      <c r="B23" s="346">
        <f>'[7]Loss Expenses YTD-p12'!B23</f>
        <v>0</v>
      </c>
      <c r="C23" s="68">
        <f>'[7]Loss Expenses YTD-p12'!C23</f>
        <v>278</v>
      </c>
      <c r="D23" s="346">
        <f>'[7]Loss Expenses YTD-p12'!D23</f>
        <v>0</v>
      </c>
      <c r="E23" s="346">
        <f>'[7]Loss Expenses YTD-p12'!E23</f>
        <v>0</v>
      </c>
      <c r="F23" s="346">
        <f>'[7]Loss Expenses YTD-p12'!F23</f>
        <v>0</v>
      </c>
      <c r="G23" s="68">
        <f>SUM(B23:F23)</f>
        <v>278</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row>
    <row r="24" spans="1:38" s="22" customFormat="1" ht="15.75" customHeight="1" thickBot="1">
      <c r="A24" s="63" t="s">
        <v>279</v>
      </c>
      <c r="B24" s="416">
        <f>SUM(B21:B23)</f>
        <v>0</v>
      </c>
      <c r="C24" s="415">
        <f>SUM(C21:C23)+1</f>
        <v>343249.24</v>
      </c>
      <c r="D24" s="415">
        <f>SUM(D21:D23)</f>
        <v>103711.5</v>
      </c>
      <c r="E24" s="415">
        <f>SUM(E21:E23)</f>
        <v>19129.739999999998</v>
      </c>
      <c r="F24" s="415">
        <f>SUM(F21:F23)-1</f>
        <v>8746.74</v>
      </c>
      <c r="G24" s="348">
        <f>SUM(B24:F24)</f>
        <v>474837.22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row>
    <row r="25" spans="2:38" s="22" customFormat="1" ht="15.75" customHeight="1" thickTop="1">
      <c r="B25" s="232"/>
      <c r="C25" s="232"/>
      <c r="D25" s="231"/>
      <c r="E25" s="231"/>
      <c r="F25" s="231"/>
      <c r="G25" s="23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38" s="22" customFormat="1" ht="45" customHeight="1">
      <c r="A26" s="446" t="s">
        <v>125</v>
      </c>
      <c r="B26" s="232"/>
      <c r="C26" s="232"/>
      <c r="D26" s="345"/>
      <c r="E26" s="345"/>
      <c r="F26" s="345"/>
      <c r="G26" s="23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row>
    <row r="27" spans="1:38" s="22" customFormat="1" ht="15.75" customHeight="1">
      <c r="A27" s="22" t="s">
        <v>276</v>
      </c>
      <c r="B27" s="347">
        <f>B9+B15-B21+1</f>
        <v>246344.35</v>
      </c>
      <c r="C27" s="347">
        <f aca="true" t="shared" si="1" ref="B27:C29">C9+C15-C21</f>
        <v>578089.3599999999</v>
      </c>
      <c r="D27" s="347">
        <f>D9+D15-D21+1</f>
        <v>-9933.699999999997</v>
      </c>
      <c r="E27" s="347">
        <f>E9+E15-E21+1</f>
        <v>-2551.6399999999994</v>
      </c>
      <c r="F27" s="347">
        <f>F9+F15-F21</f>
        <v>16885.64</v>
      </c>
      <c r="G27" s="347">
        <f>SUM(B27:F27)-1</f>
        <v>828833.0099999999</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row>
    <row r="28" spans="1:38" s="22" customFormat="1" ht="15.75" customHeight="1">
      <c r="A28" s="23" t="s">
        <v>277</v>
      </c>
      <c r="B28" s="347">
        <f t="shared" si="1"/>
        <v>88692.24</v>
      </c>
      <c r="C28" s="347">
        <f>C10+C16-C22-1</f>
        <v>254902.77</v>
      </c>
      <c r="D28" s="347">
        <f>D10+D16-D22-1</f>
        <v>23117.239999999998</v>
      </c>
      <c r="E28" s="347">
        <f>E10+E16-E22</f>
        <v>4694.22</v>
      </c>
      <c r="F28" s="347">
        <f>F10+F16-F22+1</f>
        <v>1951.3699999999997</v>
      </c>
      <c r="G28" s="347">
        <f>SUM(B28:F28)-1</f>
        <v>373356.83999999997</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s="22" customFormat="1" ht="15.75" customHeight="1">
      <c r="A29" s="23" t="s">
        <v>278</v>
      </c>
      <c r="B29" s="346">
        <f t="shared" si="1"/>
        <v>0</v>
      </c>
      <c r="C29" s="347">
        <f t="shared" si="1"/>
        <v>1572.9</v>
      </c>
      <c r="D29" s="346">
        <f>D11+D17-D23</f>
        <v>0</v>
      </c>
      <c r="E29" s="346">
        <f>E11+E17-E23</f>
        <v>0</v>
      </c>
      <c r="F29" s="346">
        <f>F11+F17-F23</f>
        <v>0</v>
      </c>
      <c r="G29" s="347">
        <f>SUM(B29:F29)</f>
        <v>1572.9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ht="15.75" customHeight="1" thickBot="1">
      <c r="A30" s="37" t="s">
        <v>279</v>
      </c>
      <c r="B30" s="210">
        <f>SUM(B27:B29)-1</f>
        <v>335035.59</v>
      </c>
      <c r="C30" s="210">
        <f>SUM(C27:C29)</f>
        <v>834565.0299999999</v>
      </c>
      <c r="D30" s="210">
        <f>SUM(D27:D29)-1</f>
        <v>13182.54</v>
      </c>
      <c r="E30" s="210">
        <f>SUM(E27:E29)-1</f>
        <v>2141.580000000001</v>
      </c>
      <c r="F30" s="210">
        <f>SUM(F27:F29)</f>
        <v>18837.01</v>
      </c>
      <c r="G30" s="210">
        <f>SUM(B30:F30)+1</f>
        <v>1203762.75</v>
      </c>
      <c r="H30" s="61"/>
      <c r="I30" s="101"/>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2:39" ht="15.75" customHeight="1" thickTop="1">
      <c r="B31" s="371"/>
      <c r="C31" s="371"/>
      <c r="F31" s="231"/>
      <c r="G31" s="231"/>
      <c r="H31" s="10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row>
    <row r="32" spans="3:39" ht="15.75" customHeight="1">
      <c r="C32" s="371"/>
      <c r="F32" s="231"/>
      <c r="G32" s="231"/>
      <c r="H32" s="64"/>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row>
    <row r="33" spans="3:39" ht="15.75" customHeight="1">
      <c r="C33" s="371"/>
      <c r="F33" s="231"/>
      <c r="G33" s="231"/>
      <c r="H33" s="64"/>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row>
    <row r="34" spans="3:39" ht="15.75" customHeight="1">
      <c r="C34" s="371"/>
      <c r="F34" s="231"/>
      <c r="G34" s="231"/>
      <c r="H34" s="64"/>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3:39" ht="15.75" customHeight="1">
      <c r="C35" s="371"/>
      <c r="F35" s="231"/>
      <c r="G35" s="231"/>
      <c r="H35" s="64"/>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row>
    <row r="36" spans="3:39" ht="15.75" customHeight="1">
      <c r="C36" s="371"/>
      <c r="F36" s="231"/>
      <c r="G36" s="231"/>
      <c r="H36" s="6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row>
    <row r="37" spans="3:39" ht="14.25">
      <c r="C37" s="371"/>
      <c r="F37" s="231"/>
      <c r="G37" s="231"/>
      <c r="H37" s="64"/>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3:39" ht="14.25">
      <c r="C38" s="371"/>
      <c r="F38" s="231"/>
      <c r="G38" s="231"/>
      <c r="H38" s="64"/>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6:39" ht="15.75">
      <c r="F39" s="231"/>
      <c r="G39" s="231"/>
      <c r="H39" s="64"/>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row>
    <row r="40" spans="6:39" ht="15.75">
      <c r="F40" s="231"/>
      <c r="G40" s="231"/>
      <c r="H40" s="64"/>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row>
    <row r="41" spans="6:39" ht="15.75">
      <c r="F41" s="231"/>
      <c r="G41" s="231"/>
      <c r="H41" s="64"/>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6:39" ht="15.75">
      <c r="F42" s="231"/>
      <c r="G42" s="231"/>
      <c r="H42" s="64"/>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row>
    <row r="43" spans="6:39" ht="15.75">
      <c r="F43" s="231"/>
      <c r="G43" s="231"/>
      <c r="H43" s="64"/>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6:39" ht="15.75">
      <c r="F44" s="231"/>
      <c r="G44" s="231"/>
      <c r="H44" s="64"/>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row>
    <row r="45" spans="6:39" ht="15.75">
      <c r="F45" s="231"/>
      <c r="G45" s="231"/>
      <c r="H45" s="64"/>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row>
    <row r="46" spans="6:39" ht="15.75">
      <c r="F46" s="231"/>
      <c r="G46" s="231"/>
      <c r="H46" s="64"/>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row>
    <row r="47" spans="6:39" ht="15.75">
      <c r="F47" s="231"/>
      <c r="G47" s="231"/>
      <c r="H47" s="64"/>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row>
    <row r="48" spans="6:39" ht="15.75">
      <c r="F48" s="231"/>
      <c r="G48" s="231"/>
      <c r="H48" s="6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row>
    <row r="49" spans="6:39" ht="15.75">
      <c r="F49" s="231"/>
      <c r="G49" s="231"/>
      <c r="H49" s="64"/>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row>
    <row r="50" spans="6:39" ht="15.75">
      <c r="F50" s="231"/>
      <c r="G50" s="231"/>
      <c r="H50" s="64"/>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row>
    <row r="51" spans="6:39" ht="15.75">
      <c r="F51" s="231"/>
      <c r="G51" s="231"/>
      <c r="H51" s="64"/>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row>
    <row r="52" spans="6:39" ht="15.75">
      <c r="F52" s="231"/>
      <c r="G52" s="231"/>
      <c r="H52" s="64"/>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row>
    <row r="53" spans="6:39" ht="15.75">
      <c r="F53" s="231"/>
      <c r="G53" s="231"/>
      <c r="H53" s="64"/>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row>
    <row r="54" spans="6:39" ht="15.75">
      <c r="F54" s="231"/>
      <c r="G54" s="231"/>
      <c r="H54" s="64"/>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row>
    <row r="55" spans="6:39" ht="15.75">
      <c r="F55" s="231"/>
      <c r="G55" s="231"/>
      <c r="H55" s="64"/>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row>
    <row r="56" spans="6:39" ht="15.75">
      <c r="F56" s="231"/>
      <c r="G56" s="231"/>
      <c r="H56" s="64"/>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row>
    <row r="57" spans="6:39" ht="15.75">
      <c r="F57" s="231"/>
      <c r="G57" s="231"/>
      <c r="H57" s="64"/>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row>
    <row r="58" spans="6:39" ht="15.75">
      <c r="F58" s="231"/>
      <c r="G58" s="231"/>
      <c r="H58" s="64"/>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row>
    <row r="59" spans="6:39" ht="15.75">
      <c r="F59" s="231"/>
      <c r="G59" s="231"/>
      <c r="H59" s="64"/>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row>
    <row r="60" spans="6:39" ht="15.75">
      <c r="F60" s="231"/>
      <c r="G60" s="231"/>
      <c r="H60" s="64"/>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row>
    <row r="61" spans="6:39" ht="15.75">
      <c r="F61" s="231"/>
      <c r="G61" s="231"/>
      <c r="H61" s="64"/>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row>
    <row r="62" spans="6:39" ht="15.75">
      <c r="F62" s="231"/>
      <c r="G62" s="231"/>
      <c r="H62" s="64"/>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6:39" ht="15.75">
      <c r="F63" s="231"/>
      <c r="G63" s="231"/>
      <c r="H63" s="64"/>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row>
    <row r="64" spans="6:39" ht="15.75">
      <c r="F64" s="231"/>
      <c r="G64" s="231"/>
      <c r="H64" s="64"/>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row>
    <row r="65" spans="6:39" ht="15.75">
      <c r="F65" s="231"/>
      <c r="G65" s="231"/>
      <c r="H65" s="64"/>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row>
    <row r="66" spans="6:39" ht="15.75">
      <c r="F66" s="231"/>
      <c r="G66" s="231"/>
      <c r="H66" s="64"/>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row>
    <row r="67" spans="6:39" ht="15.75">
      <c r="F67" s="231"/>
      <c r="G67" s="231"/>
      <c r="H67" s="64"/>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row>
    <row r="68" spans="6:39" ht="15.75">
      <c r="F68" s="231"/>
      <c r="G68" s="231"/>
      <c r="H68" s="64"/>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6:39" ht="15.75">
      <c r="F69" s="231"/>
      <c r="G69" s="231"/>
      <c r="H69" s="64"/>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row>
    <row r="70" spans="6:39" ht="15.75">
      <c r="F70" s="231"/>
      <c r="G70" s="231"/>
      <c r="H70" s="64"/>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row>
    <row r="71" spans="6:39" ht="15.75">
      <c r="F71" s="231"/>
      <c r="G71" s="231"/>
      <c r="H71" s="64"/>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row>
    <row r="72" spans="6:39" ht="15.75">
      <c r="F72" s="231"/>
      <c r="G72" s="231"/>
      <c r="H72" s="64"/>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row>
    <row r="73" spans="6:39" ht="15.75">
      <c r="F73" s="231"/>
      <c r="G73" s="231"/>
      <c r="H73" s="64"/>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row>
    <row r="74" spans="6:39" ht="15.75">
      <c r="F74" s="231"/>
      <c r="G74" s="231"/>
      <c r="H74" s="64"/>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row>
    <row r="75" spans="6:39" ht="15.75">
      <c r="F75" s="231"/>
      <c r="G75" s="231"/>
      <c r="H75" s="64"/>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row>
    <row r="76" spans="6:39" ht="15.75">
      <c r="F76" s="231"/>
      <c r="G76" s="231"/>
      <c r="H76" s="64"/>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row>
    <row r="77" spans="6:39" ht="15.75">
      <c r="F77" s="231"/>
      <c r="G77" s="231"/>
      <c r="H77" s="64"/>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row>
    <row r="78" spans="6:39" ht="15.75">
      <c r="F78" s="231"/>
      <c r="G78" s="231"/>
      <c r="H78" s="64"/>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row>
    <row r="79" spans="6:39" ht="15.75">
      <c r="F79" s="231"/>
      <c r="G79" s="231"/>
      <c r="H79" s="64"/>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row>
  </sheetData>
  <printOptions horizontalCentered="1"/>
  <pageMargins left="0.5" right="0.5" top="0.5" bottom="0.5" header="0.5" footer="0"/>
  <pageSetup horizontalDpi="600" verticalDpi="600" orientation="landscape" scale="80" r:id="rId1"/>
  <headerFooter alignWithMargins="0">
    <oddFooter>&amp;CPage 12
</oddFooter>
  </headerFooter>
</worksheet>
</file>

<file path=xl/worksheets/sheet15.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1" customWidth="1"/>
    <col min="2" max="2" width="19.7109375" style="1" customWidth="1"/>
    <col min="3" max="3" width="2.7109375" style="1" customWidth="1"/>
    <col min="4" max="4" width="18.421875" style="1" customWidth="1"/>
    <col min="5" max="5" width="3.140625" style="1" customWidth="1"/>
    <col min="6" max="6" width="10.421875" style="1" customWidth="1"/>
    <col min="7" max="7" width="3.7109375" style="1" customWidth="1"/>
    <col min="8" max="8" width="16.00390625" style="1" customWidth="1"/>
    <col min="9" max="9" width="2.28125" style="1" customWidth="1"/>
    <col min="10" max="10" width="15.7109375" style="1" customWidth="1"/>
    <col min="11" max="11" width="3.00390625" style="1" customWidth="1"/>
    <col min="12" max="16384" width="9.140625" style="1" customWidth="1"/>
  </cols>
  <sheetData>
    <row r="2" spans="1:10" ht="19.5" customHeight="1">
      <c r="A2" s="485" t="s">
        <v>39</v>
      </c>
      <c r="B2" s="485"/>
      <c r="C2" s="485"/>
      <c r="D2" s="485"/>
      <c r="E2" s="485"/>
      <c r="F2" s="485"/>
      <c r="G2" s="485"/>
      <c r="H2" s="485"/>
      <c r="I2" s="485"/>
      <c r="J2" s="485"/>
    </row>
    <row r="3" spans="1:7" ht="19.5" customHeight="1">
      <c r="A3" s="95"/>
      <c r="B3" s="96"/>
      <c r="C3" s="96"/>
      <c r="E3" s="96"/>
      <c r="F3" s="96"/>
      <c r="G3" s="96"/>
    </row>
    <row r="4" spans="1:10" ht="19.5" customHeight="1">
      <c r="A4" s="486" t="s">
        <v>40</v>
      </c>
      <c r="B4" s="486"/>
      <c r="C4" s="486"/>
      <c r="D4" s="486"/>
      <c r="E4" s="486"/>
      <c r="F4" s="486"/>
      <c r="G4" s="486"/>
      <c r="H4" s="486"/>
      <c r="I4" s="486"/>
      <c r="J4" s="486"/>
    </row>
    <row r="5" ht="19.5" customHeight="1">
      <c r="B5" s="3"/>
    </row>
    <row r="6" spans="2:10" ht="19.5" customHeight="1">
      <c r="B6" s="487" t="s">
        <v>13</v>
      </c>
      <c r="C6" s="487"/>
      <c r="D6" s="487"/>
      <c r="E6" s="2"/>
      <c r="F6" s="2"/>
      <c r="G6" s="2"/>
      <c r="H6" s="83" t="s">
        <v>14</v>
      </c>
      <c r="I6" s="83"/>
      <c r="J6" s="82"/>
    </row>
    <row r="7" spans="2:10" ht="19.5" customHeight="1" thickBot="1">
      <c r="B7" s="488" t="s">
        <v>41</v>
      </c>
      <c r="C7" s="488"/>
      <c r="D7" s="488"/>
      <c r="E7" s="100"/>
      <c r="F7" s="100"/>
      <c r="G7" s="100"/>
      <c r="H7" s="488" t="s">
        <v>41</v>
      </c>
      <c r="I7" s="488"/>
      <c r="J7" s="488"/>
    </row>
    <row r="8" spans="2:10" ht="19.5" customHeight="1" thickBot="1">
      <c r="B8" s="97">
        <v>2002</v>
      </c>
      <c r="C8" s="81"/>
      <c r="D8" s="97">
        <v>2001</v>
      </c>
      <c r="E8" s="81"/>
      <c r="F8" s="233" t="s">
        <v>170</v>
      </c>
      <c r="G8" s="81"/>
      <c r="H8" s="97">
        <v>2002</v>
      </c>
      <c r="I8" s="81"/>
      <c r="J8" s="97">
        <v>2001</v>
      </c>
    </row>
    <row r="9" spans="1:9" ht="19.5" customHeight="1">
      <c r="A9" s="6"/>
      <c r="B9" s="63"/>
      <c r="C9" s="63"/>
      <c r="D9" s="6"/>
      <c r="E9" s="73"/>
      <c r="F9" s="73"/>
      <c r="G9" s="73"/>
      <c r="I9" s="30"/>
    </row>
    <row r="10" spans="1:10" ht="19.5" customHeight="1">
      <c r="A10" s="37" t="s">
        <v>42</v>
      </c>
      <c r="B10" s="74">
        <f>-'[1]TB06-30-03(Final)'!E297</f>
        <v>5491248</v>
      </c>
      <c r="C10" s="74"/>
      <c r="D10" s="74">
        <f>+'[2]Highlights (pg 1)'!$B$10</f>
        <v>4280821</v>
      </c>
      <c r="E10" s="74"/>
      <c r="F10" s="235">
        <f>(+B10-D10)/D10</f>
        <v>0.2827558078228452</v>
      </c>
      <c r="G10" s="74"/>
      <c r="H10" s="74">
        <f>-'[1]TB06-30-03(Final)'!G297</f>
        <v>10221860</v>
      </c>
      <c r="I10" s="74"/>
      <c r="J10" s="74">
        <f>+'[2]Highlights (pg 1)'!$F$10</f>
        <v>16190670</v>
      </c>
    </row>
    <row r="11" spans="1:10" ht="19.5" customHeight="1">
      <c r="A11" s="37"/>
      <c r="B11" s="63"/>
      <c r="C11" s="63"/>
      <c r="D11" s="63"/>
      <c r="E11" s="63"/>
      <c r="F11" s="234"/>
      <c r="G11" s="63"/>
      <c r="H11" s="63"/>
      <c r="I11" s="6"/>
      <c r="J11" s="63"/>
    </row>
    <row r="12" spans="1:10" ht="19.5" customHeight="1">
      <c r="A12" s="37" t="s">
        <v>43</v>
      </c>
      <c r="B12" s="63">
        <f>-'[1]TB06-30-03(Final)'!E315</f>
        <v>4659146</v>
      </c>
      <c r="C12" s="63"/>
      <c r="D12" s="63">
        <f>+'[2]Highlights (pg 1)'!$B$12</f>
        <v>4133399</v>
      </c>
      <c r="E12" s="63"/>
      <c r="F12" s="235">
        <f>(+B12-D12)/D12</f>
        <v>0.12719483408207144</v>
      </c>
      <c r="G12" s="63"/>
      <c r="H12" s="63">
        <f>-'[1]TB06-30-03(Final)'!G315</f>
        <v>9075299</v>
      </c>
      <c r="I12" s="63"/>
      <c r="J12" s="63">
        <f>+'[2]Highlights (pg 1)'!$F$12</f>
        <v>16708714</v>
      </c>
    </row>
    <row r="13" spans="1:10" ht="19.5" customHeight="1">
      <c r="A13" s="37"/>
      <c r="B13" s="63"/>
      <c r="C13" s="63"/>
      <c r="D13" s="63"/>
      <c r="E13" s="63"/>
      <c r="F13" s="234"/>
      <c r="G13" s="63"/>
      <c r="H13" s="63"/>
      <c r="I13" s="6"/>
      <c r="J13" s="63"/>
    </row>
    <row r="14" spans="1:10" ht="19.5" customHeight="1">
      <c r="A14" s="37" t="s">
        <v>44</v>
      </c>
      <c r="B14" s="63">
        <f>+'[1]TB06-30-03(Final)'!E431</f>
        <v>2160529.7000000007</v>
      </c>
      <c r="C14" s="63"/>
      <c r="D14" s="63">
        <f>+'[2]Highlights (pg 1)'!$B$14</f>
        <v>2779701.7999999993</v>
      </c>
      <c r="E14" s="63"/>
      <c r="F14" s="235">
        <f>(+B14-D14)/D14</f>
        <v>-0.22274767027168124</v>
      </c>
      <c r="G14" s="63"/>
      <c r="H14" s="63">
        <f>+'[1]TB06-30-03(Final)'!G431</f>
        <v>7074225.810000002</v>
      </c>
      <c r="I14" s="63"/>
      <c r="J14" s="63">
        <f>+'[2]Highlights (pg 1)'!$F$14</f>
        <v>14011900.985</v>
      </c>
    </row>
    <row r="15" spans="1:10" ht="19.5" customHeight="1">
      <c r="A15" s="37"/>
      <c r="B15" s="63"/>
      <c r="C15" s="63"/>
      <c r="D15" s="63"/>
      <c r="E15" s="63"/>
      <c r="F15" s="234"/>
      <c r="G15" s="63"/>
      <c r="H15" s="63"/>
      <c r="I15" s="6"/>
      <c r="J15" s="63"/>
    </row>
    <row r="16" spans="1:10" ht="19.5" customHeight="1">
      <c r="A16" s="37" t="s">
        <v>45</v>
      </c>
      <c r="B16" s="63">
        <f>+'[1]TB06-30-03(Final)'!E518</f>
        <v>216153.58000000007</v>
      </c>
      <c r="C16" s="63"/>
      <c r="D16" s="63">
        <f>+'[2]Highlights (pg 1)'!$B$16</f>
        <v>359851.97759499995</v>
      </c>
      <c r="E16" s="63"/>
      <c r="F16" s="235">
        <f>(+B16-D16)/D16</f>
        <v>-0.399326407917444</v>
      </c>
      <c r="G16" s="63"/>
      <c r="H16" s="63">
        <f>+'[1]TB06-30-03(Final)'!G518</f>
        <v>811832.5899999997</v>
      </c>
      <c r="I16" s="63"/>
      <c r="J16" s="63">
        <f>+'[2]Highlights (pg 1)'!$F$16</f>
        <v>1458256.25543</v>
      </c>
    </row>
    <row r="17" spans="1:10" ht="19.5" customHeight="1">
      <c r="A17" s="37"/>
      <c r="B17" s="63"/>
      <c r="C17" s="63"/>
      <c r="D17" s="63"/>
      <c r="E17" s="63"/>
      <c r="F17" s="234"/>
      <c r="G17" s="63"/>
      <c r="H17" s="63"/>
      <c r="I17" s="6"/>
      <c r="J17" s="63"/>
    </row>
    <row r="18" spans="1:10" ht="19.5" customHeight="1">
      <c r="A18" s="37" t="s">
        <v>46</v>
      </c>
      <c r="B18" s="63">
        <f>+'[1]TB06-30-03(Final)'!E581+'[1]TB06-30-03(Final)'!E938</f>
        <v>1597217.000000001</v>
      </c>
      <c r="C18" s="63"/>
      <c r="D18" s="63">
        <f>+'[2]Highlights (pg 1)'!$B$18</f>
        <v>1236377.2000000002</v>
      </c>
      <c r="E18" s="63"/>
      <c r="F18" s="235">
        <f>(+B18-D18)/D18</f>
        <v>0.29185251879442675</v>
      </c>
      <c r="G18" s="63"/>
      <c r="H18" s="63">
        <f>+'[1]TB06-30-03(Final)'!G581+'[1]TB06-30-03(Final)'!G938</f>
        <v>3054308.21</v>
      </c>
      <c r="I18" s="63"/>
      <c r="J18" s="63">
        <f>+'[2]Highlights (pg 1)'!$F$18</f>
        <v>5361056.619999999</v>
      </c>
    </row>
    <row r="19" spans="1:10" ht="19.5" customHeight="1">
      <c r="A19" s="37"/>
      <c r="B19" s="63"/>
      <c r="C19" s="63"/>
      <c r="D19" s="63"/>
      <c r="E19" s="63"/>
      <c r="F19" s="234"/>
      <c r="G19" s="63"/>
      <c r="H19" s="63"/>
      <c r="I19" s="6"/>
      <c r="J19" s="63"/>
    </row>
    <row r="20" spans="1:10" ht="19.5" customHeight="1">
      <c r="A20" s="37" t="s">
        <v>182</v>
      </c>
      <c r="B20" s="63">
        <f>B12-B14-B16-B18</f>
        <v>685245.7199999983</v>
      </c>
      <c r="C20" s="63"/>
      <c r="D20" s="63">
        <f>D12-D14-D16-D18</f>
        <v>-242531.97759499948</v>
      </c>
      <c r="E20" s="63"/>
      <c r="F20" s="235">
        <f>(+B20-D20)/D20</f>
        <v>-3.825382973391987</v>
      </c>
      <c r="G20" s="63"/>
      <c r="H20" s="63">
        <f>H12-H14-H16-H18</f>
        <v>-1865067.6100000022</v>
      </c>
      <c r="I20" s="6"/>
      <c r="J20" s="63">
        <f>J12-J14-J16-J18</f>
        <v>-4122499.8604299985</v>
      </c>
    </row>
    <row r="21" spans="1:10" ht="19.5" customHeight="1">
      <c r="A21" s="37"/>
      <c r="B21" s="63"/>
      <c r="C21" s="63"/>
      <c r="D21" s="63"/>
      <c r="E21" s="63"/>
      <c r="F21" s="234"/>
      <c r="G21" s="63"/>
      <c r="H21" s="63"/>
      <c r="I21" s="6"/>
      <c r="J21" s="63"/>
    </row>
    <row r="22" spans="1:10" ht="19.5" customHeight="1">
      <c r="A22" s="37" t="s">
        <v>47</v>
      </c>
      <c r="B22" s="63">
        <f>-'[1]TB06-30-03(Final)'!E332</f>
        <v>29841.62</v>
      </c>
      <c r="C22" s="63"/>
      <c r="D22" s="74">
        <f>+'[2]Highlights (pg 1)'!$B$22</f>
        <v>51020.619999999995</v>
      </c>
      <c r="E22" s="63"/>
      <c r="F22" s="235">
        <f>(+B22-D22)/D22</f>
        <v>-0.4151066764770792</v>
      </c>
      <c r="G22" s="63"/>
      <c r="H22" s="63">
        <f>-'[1]TB06-30-03(Final)'!G332</f>
        <v>61536.52</v>
      </c>
      <c r="I22" s="63"/>
      <c r="J22" s="63">
        <f>+'[2]Highlights (pg 1)'!$F$22</f>
        <v>406576.29999999993</v>
      </c>
    </row>
    <row r="23" spans="1:10" ht="19.5" customHeight="1">
      <c r="A23" s="37"/>
      <c r="B23" s="63"/>
      <c r="C23" s="63"/>
      <c r="D23" s="63"/>
      <c r="E23" s="63"/>
      <c r="F23" s="234"/>
      <c r="G23" s="63"/>
      <c r="H23" s="63"/>
      <c r="I23" s="6"/>
      <c r="J23" s="63"/>
    </row>
    <row r="24" spans="1:10" ht="19.5" customHeight="1">
      <c r="A24" s="37" t="s">
        <v>152</v>
      </c>
      <c r="B24" s="74">
        <f>B20+B22</f>
        <v>715087.3399999983</v>
      </c>
      <c r="C24" s="74"/>
      <c r="D24" s="74">
        <f>D20+D22-1</f>
        <v>-191512.35759499948</v>
      </c>
      <c r="E24" s="74"/>
      <c r="F24" s="234">
        <f>(+B24-D24)/D24</f>
        <v>-4.733896595394791</v>
      </c>
      <c r="G24" s="74"/>
      <c r="H24" s="74">
        <f>H20+H22</f>
        <v>-1803531.0900000022</v>
      </c>
      <c r="I24" s="6"/>
      <c r="J24" s="74">
        <f>J20+J22</f>
        <v>-3715923.5604299987</v>
      </c>
    </row>
    <row r="25" spans="1:10" ht="19.5" customHeight="1">
      <c r="A25" s="37"/>
      <c r="B25" s="63"/>
      <c r="C25" s="63"/>
      <c r="D25" s="63"/>
      <c r="E25" s="63"/>
      <c r="F25" s="63"/>
      <c r="G25" s="63"/>
      <c r="H25" s="63"/>
      <c r="I25" s="6"/>
      <c r="J25" s="6"/>
    </row>
    <row r="26" spans="1:10" ht="19.5" customHeight="1">
      <c r="A26" s="37"/>
      <c r="B26" s="63"/>
      <c r="C26" s="63"/>
      <c r="D26" s="63"/>
      <c r="E26" s="63"/>
      <c r="F26" s="63"/>
      <c r="G26" s="63"/>
      <c r="H26" s="63"/>
      <c r="I26" s="6"/>
      <c r="J26" s="6"/>
    </row>
    <row r="27" spans="1:10" ht="19.5" customHeight="1">
      <c r="A27" s="37"/>
      <c r="B27" s="63"/>
      <c r="C27" s="63"/>
      <c r="D27" s="63"/>
      <c r="E27" s="63"/>
      <c r="F27" s="63"/>
      <c r="G27" s="63"/>
      <c r="H27" s="63"/>
      <c r="I27" s="6"/>
      <c r="J27" s="6"/>
    </row>
    <row r="28" spans="1:10" ht="19.5" customHeight="1">
      <c r="A28" s="37"/>
      <c r="B28" s="63"/>
      <c r="C28" s="63"/>
      <c r="D28" s="63"/>
      <c r="E28" s="63"/>
      <c r="F28" s="63"/>
      <c r="G28" s="63"/>
      <c r="H28" s="63"/>
      <c r="I28" s="6"/>
      <c r="J28" s="6"/>
    </row>
    <row r="29" spans="1:10" ht="19.5" customHeight="1">
      <c r="A29" s="37" t="s">
        <v>48</v>
      </c>
      <c r="B29" s="75">
        <f>(B14+B16)/B12</f>
        <v>0.5101113551710981</v>
      </c>
      <c r="C29" s="77"/>
      <c r="D29" s="75">
        <f>(D14+D16)/D12</f>
        <v>0.7595573951595284</v>
      </c>
      <c r="E29" s="77"/>
      <c r="F29" s="77"/>
      <c r="G29" s="77"/>
      <c r="H29" s="75">
        <f>(H14+H16)/H12</f>
        <v>0.8689585213666241</v>
      </c>
      <c r="I29" s="75"/>
      <c r="J29" s="75">
        <f>(J14+J16)/J12</f>
        <v>0.9258736034640368</v>
      </c>
    </row>
    <row r="30" spans="1:10" ht="19.5" customHeight="1">
      <c r="A30" s="37"/>
      <c r="B30" s="76"/>
      <c r="C30" s="77"/>
      <c r="D30" s="76"/>
      <c r="E30" s="77"/>
      <c r="F30" s="77"/>
      <c r="G30" s="77"/>
      <c r="H30" s="76"/>
      <c r="I30" s="76"/>
      <c r="J30" s="76"/>
    </row>
    <row r="31" spans="1:10" ht="19.5" customHeight="1">
      <c r="A31" s="37" t="s">
        <v>49</v>
      </c>
      <c r="B31" s="75">
        <f>B18/B10</f>
        <v>0.2908659379434331</v>
      </c>
      <c r="C31" s="77"/>
      <c r="D31" s="75">
        <f>D18/D10</f>
        <v>0.2888177758425312</v>
      </c>
      <c r="E31" s="77"/>
      <c r="F31" s="77"/>
      <c r="G31" s="77"/>
      <c r="H31" s="75">
        <f>H18/H10</f>
        <v>0.29880160851351906</v>
      </c>
      <c r="I31" s="75"/>
      <c r="J31" s="75">
        <f>J18/J10</f>
        <v>0.3311201216503084</v>
      </c>
    </row>
    <row r="32" spans="1:10" ht="19.5" customHeight="1">
      <c r="A32" s="37"/>
      <c r="B32" s="76"/>
      <c r="C32" s="77"/>
      <c r="D32" s="76"/>
      <c r="E32" s="77"/>
      <c r="F32" s="77"/>
      <c r="G32" s="77"/>
      <c r="H32" s="76"/>
      <c r="I32" s="76"/>
      <c r="J32" s="76"/>
    </row>
    <row r="33" spans="1:10" ht="19.5" customHeight="1">
      <c r="A33" s="37" t="s">
        <v>50</v>
      </c>
      <c r="B33" s="98">
        <f>SUM(B29:B32)</f>
        <v>0.8009772931145311</v>
      </c>
      <c r="C33" s="98"/>
      <c r="D33" s="98">
        <f>SUM(D29:D31)</f>
        <v>1.0483751710020597</v>
      </c>
      <c r="E33" s="98"/>
      <c r="F33" s="98"/>
      <c r="G33" s="98"/>
      <c r="H33" s="98">
        <f>SUM(H29:H32)</f>
        <v>1.1677601298801432</v>
      </c>
      <c r="I33" s="98"/>
      <c r="J33" s="98">
        <f>SUM(J29:J31)</f>
        <v>1.2569937251143453</v>
      </c>
    </row>
    <row r="34" spans="1:4" ht="19.5" customHeight="1">
      <c r="A34" s="6"/>
      <c r="B34" s="99"/>
      <c r="C34" s="23"/>
      <c r="D34" s="6"/>
    </row>
    <row r="35" spans="1:4" ht="19.5" customHeight="1">
      <c r="A35" s="6"/>
      <c r="B35" s="99"/>
      <c r="C35" s="23"/>
      <c r="D35" s="6"/>
    </row>
    <row r="36" spans="1:4" ht="19.5" customHeight="1">
      <c r="A36" s="6"/>
      <c r="B36" s="99"/>
      <c r="C36" s="22"/>
      <c r="D36" s="6"/>
    </row>
    <row r="37" spans="1:4" ht="19.5" customHeight="1">
      <c r="A37" s="6"/>
      <c r="B37" s="99"/>
      <c r="C37" s="22"/>
      <c r="D37" s="6"/>
    </row>
    <row r="38" spans="1:4" ht="19.5" customHeight="1">
      <c r="A38" s="6"/>
      <c r="B38" s="99"/>
      <c r="C38" s="22"/>
      <c r="D38" s="6"/>
    </row>
    <row r="39" ht="19.5" customHeight="1">
      <c r="C39" s="36"/>
    </row>
    <row r="40" ht="19.5" customHeight="1">
      <c r="A40" s="78"/>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2:H40"/>
  <sheetViews>
    <sheetView workbookViewId="0" topLeftCell="A20">
      <selection activeCell="C36" sqref="C36"/>
    </sheetView>
  </sheetViews>
  <sheetFormatPr defaultColWidth="9.140625" defaultRowHeight="19.5" customHeight="1"/>
  <cols>
    <col min="1" max="1" width="37.140625" style="1" customWidth="1"/>
    <col min="2" max="2" width="19.7109375" style="1" customWidth="1"/>
    <col min="3" max="3" width="2.7109375" style="1" customWidth="1"/>
    <col min="4" max="4" width="18.421875" style="1" customWidth="1"/>
    <col min="5" max="5" width="2.140625" style="1" customWidth="1"/>
    <col min="6" max="6" width="16.00390625" style="1" customWidth="1"/>
    <col min="7" max="7" width="2.28125" style="1" customWidth="1"/>
    <col min="8" max="8" width="15.7109375" style="1" customWidth="1"/>
    <col min="9" max="16384" width="9.140625" style="1" customWidth="1"/>
  </cols>
  <sheetData>
    <row r="2" spans="1:8" ht="19.5" customHeight="1">
      <c r="A2" s="485" t="s">
        <v>39</v>
      </c>
      <c r="B2" s="485"/>
      <c r="C2" s="485"/>
      <c r="D2" s="485"/>
      <c r="E2" s="485"/>
      <c r="F2" s="485"/>
      <c r="G2" s="485"/>
      <c r="H2" s="485"/>
    </row>
    <row r="3" spans="1:5" ht="19.5" customHeight="1">
      <c r="A3" s="95"/>
      <c r="B3" s="96"/>
      <c r="C3" s="96"/>
      <c r="E3" s="96"/>
    </row>
    <row r="4" spans="1:8" ht="19.5" customHeight="1">
      <c r="A4" s="486" t="s">
        <v>40</v>
      </c>
      <c r="B4" s="486"/>
      <c r="C4" s="486"/>
      <c r="D4" s="486"/>
      <c r="E4" s="486"/>
      <c r="F4" s="486"/>
      <c r="G4" s="486"/>
      <c r="H4" s="486"/>
    </row>
    <row r="5" ht="19.5" customHeight="1">
      <c r="B5" s="3"/>
    </row>
    <row r="6" spans="2:8" ht="19.5" customHeight="1">
      <c r="B6" s="487" t="s">
        <v>13</v>
      </c>
      <c r="C6" s="487"/>
      <c r="D6" s="487"/>
      <c r="E6" s="2"/>
      <c r="F6" s="83" t="s">
        <v>14</v>
      </c>
      <c r="G6" s="83"/>
      <c r="H6" s="82"/>
    </row>
    <row r="7" spans="2:8" ht="19.5" customHeight="1" thickBot="1">
      <c r="B7" s="488" t="s">
        <v>41</v>
      </c>
      <c r="C7" s="488"/>
      <c r="D7" s="488"/>
      <c r="E7" s="100"/>
      <c r="F7" s="488" t="s">
        <v>41</v>
      </c>
      <c r="G7" s="488"/>
      <c r="H7" s="488"/>
    </row>
    <row r="8" spans="2:8" ht="19.5" customHeight="1" thickBot="1">
      <c r="B8" s="97">
        <v>2002</v>
      </c>
      <c r="C8" s="81"/>
      <c r="D8" s="97">
        <v>2001</v>
      </c>
      <c r="E8" s="81"/>
      <c r="F8" s="97">
        <v>2002</v>
      </c>
      <c r="G8" s="81"/>
      <c r="H8" s="97">
        <v>2001</v>
      </c>
    </row>
    <row r="9" spans="1:7" ht="19.5" customHeight="1">
      <c r="A9" s="6"/>
      <c r="B9" s="63"/>
      <c r="C9" s="63"/>
      <c r="D9" s="6"/>
      <c r="E9" s="73"/>
      <c r="G9" s="30"/>
    </row>
    <row r="10" spans="1:8" ht="19.5" customHeight="1">
      <c r="A10" s="37" t="s">
        <v>42</v>
      </c>
      <c r="B10" s="74">
        <f>-'[1]TB06-30-03(Final)'!E297</f>
        <v>5491248</v>
      </c>
      <c r="C10" s="74"/>
      <c r="D10" s="74">
        <f>+'[2]Highlights (pg 1)'!$B$10</f>
        <v>4280821</v>
      </c>
      <c r="E10" s="74"/>
      <c r="F10" s="74">
        <f>-'[1]TB06-30-03(Final)'!G297</f>
        <v>10221860</v>
      </c>
      <c r="G10" s="74"/>
      <c r="H10" s="74">
        <f>+'[2]Highlights (pg 1)'!$F$10</f>
        <v>16190670</v>
      </c>
    </row>
    <row r="11" spans="1:8" ht="19.5" customHeight="1">
      <c r="A11" s="37"/>
      <c r="B11" s="63"/>
      <c r="C11" s="63"/>
      <c r="D11" s="63"/>
      <c r="E11" s="63"/>
      <c r="F11" s="63"/>
      <c r="G11" s="6"/>
      <c r="H11" s="63"/>
    </row>
    <row r="12" spans="1:8" ht="19.5" customHeight="1">
      <c r="A12" s="37" t="s">
        <v>43</v>
      </c>
      <c r="B12" s="63">
        <f>-'[1]TB06-30-03(Final)'!E315</f>
        <v>4659146</v>
      </c>
      <c r="C12" s="63"/>
      <c r="D12" s="63">
        <f>+'[2]Highlights (pg 1)'!$B$12</f>
        <v>4133399</v>
      </c>
      <c r="E12" s="63"/>
      <c r="F12" s="63">
        <f>-'[1]TB06-30-03(Final)'!G315</f>
        <v>9075299</v>
      </c>
      <c r="G12" s="63"/>
      <c r="H12" s="63">
        <f>+'[2]Highlights (pg 1)'!$F$12</f>
        <v>16708714</v>
      </c>
    </row>
    <row r="13" spans="1:8" ht="19.5" customHeight="1">
      <c r="A13" s="37"/>
      <c r="B13" s="63"/>
      <c r="C13" s="63"/>
      <c r="D13" s="63"/>
      <c r="E13" s="63"/>
      <c r="F13" s="63"/>
      <c r="G13" s="6"/>
      <c r="H13" s="63"/>
    </row>
    <row r="14" spans="1:8" ht="19.5" customHeight="1">
      <c r="A14" s="37" t="s">
        <v>44</v>
      </c>
      <c r="B14" s="63">
        <f>+'[1]TB06-30-03(Final)'!E431</f>
        <v>2160529.7000000007</v>
      </c>
      <c r="C14" s="63"/>
      <c r="D14" s="63">
        <f>+'[2]Highlights (pg 1)'!$B$14</f>
        <v>2779701.7999999993</v>
      </c>
      <c r="E14" s="63"/>
      <c r="F14" s="63">
        <f>+'[1]TB06-30-03(Final)'!G431</f>
        <v>7074225.810000002</v>
      </c>
      <c r="G14" s="63"/>
      <c r="H14" s="63">
        <f>+'[2]Highlights (pg 1)'!$F$14</f>
        <v>14011900.985</v>
      </c>
    </row>
    <row r="15" spans="1:8" ht="19.5" customHeight="1">
      <c r="A15" s="37"/>
      <c r="B15" s="63"/>
      <c r="C15" s="63"/>
      <c r="D15" s="63"/>
      <c r="E15" s="63"/>
      <c r="F15" s="63"/>
      <c r="G15" s="6"/>
      <c r="H15" s="63"/>
    </row>
    <row r="16" spans="1:8" ht="19.5" customHeight="1">
      <c r="A16" s="37" t="s">
        <v>45</v>
      </c>
      <c r="B16" s="63">
        <f>+'[1]TB06-30-03(Final)'!E518</f>
        <v>216153.58000000007</v>
      </c>
      <c r="C16" s="63"/>
      <c r="D16" s="63">
        <f>+'[2]Highlights (pg 1)'!$B$16</f>
        <v>359851.97759499995</v>
      </c>
      <c r="E16" s="63"/>
      <c r="F16" s="63">
        <f>+'[1]TB06-30-03(Final)'!G518</f>
        <v>811832.5899999997</v>
      </c>
      <c r="G16" s="63"/>
      <c r="H16" s="63">
        <f>+'[2]Highlights (pg 1)'!$F$16</f>
        <v>1458256.25543</v>
      </c>
    </row>
    <row r="17" spans="1:8" ht="19.5" customHeight="1">
      <c r="A17" s="37"/>
      <c r="B17" s="63"/>
      <c r="C17" s="63"/>
      <c r="D17" s="63"/>
      <c r="E17" s="63"/>
      <c r="F17" s="63"/>
      <c r="G17" s="6"/>
      <c r="H17" s="63"/>
    </row>
    <row r="18" spans="1:8" ht="19.5" customHeight="1">
      <c r="A18" s="37" t="s">
        <v>46</v>
      </c>
      <c r="B18" s="63">
        <f>+'[1]TB06-30-03(Final)'!E581+'[1]TB06-30-03(Final)'!E938</f>
        <v>1597217.000000001</v>
      </c>
      <c r="C18" s="63"/>
      <c r="D18" s="63">
        <f>+'[2]Highlights (pg 1)'!$B$18</f>
        <v>1236377.2000000002</v>
      </c>
      <c r="E18" s="63"/>
      <c r="F18" s="63">
        <f>+'[1]TB06-30-03(Final)'!G581+'[1]TB06-30-03(Final)'!G938</f>
        <v>3054308.21</v>
      </c>
      <c r="G18" s="63"/>
      <c r="H18" s="63">
        <f>+'[2]Highlights (pg 1)'!$F$18</f>
        <v>5361056.619999999</v>
      </c>
    </row>
    <row r="19" spans="1:8" ht="19.5" customHeight="1">
      <c r="A19" s="37"/>
      <c r="B19" s="63"/>
      <c r="C19" s="63"/>
      <c r="D19" s="63"/>
      <c r="E19" s="63"/>
      <c r="F19" s="63"/>
      <c r="G19" s="6"/>
      <c r="H19" s="63"/>
    </row>
    <row r="20" spans="1:8" ht="19.5" customHeight="1">
      <c r="A20" s="37" t="s">
        <v>182</v>
      </c>
      <c r="B20" s="63">
        <f>B12-B14-B16-B18</f>
        <v>685245.7199999983</v>
      </c>
      <c r="C20" s="63"/>
      <c r="D20" s="63">
        <f>D12-D14-D16-D18</f>
        <v>-242531.97759499948</v>
      </c>
      <c r="E20" s="63"/>
      <c r="F20" s="63">
        <f>F12-F14-F16-F18</f>
        <v>-1865067.6100000022</v>
      </c>
      <c r="G20" s="6"/>
      <c r="H20" s="63">
        <f>H12-H14-H16-H18</f>
        <v>-4122499.8604299985</v>
      </c>
    </row>
    <row r="21" spans="1:8" ht="19.5" customHeight="1">
      <c r="A21" s="37"/>
      <c r="B21" s="63"/>
      <c r="C21" s="63"/>
      <c r="D21" s="63"/>
      <c r="E21" s="63"/>
      <c r="F21" s="63"/>
      <c r="G21" s="6"/>
      <c r="H21" s="63"/>
    </row>
    <row r="22" spans="1:8" ht="19.5" customHeight="1">
      <c r="A22" s="37" t="s">
        <v>47</v>
      </c>
      <c r="B22" s="63">
        <f>-'[1]TB06-30-03(Final)'!E332</f>
        <v>29841.62</v>
      </c>
      <c r="C22" s="63"/>
      <c r="D22" s="74">
        <f>+'[2]Highlights (pg 1)'!$B$22</f>
        <v>51020.619999999995</v>
      </c>
      <c r="E22" s="63"/>
      <c r="F22" s="63">
        <f>-'[1]TB06-30-03(Final)'!G332</f>
        <v>61536.52</v>
      </c>
      <c r="G22" s="63"/>
      <c r="H22" s="63">
        <f>+'[2]Highlights (pg 1)'!$F$22</f>
        <v>406576.29999999993</v>
      </c>
    </row>
    <row r="23" spans="1:8" ht="19.5" customHeight="1">
      <c r="A23" s="37"/>
      <c r="B23" s="63"/>
      <c r="C23" s="63"/>
      <c r="D23" s="63"/>
      <c r="E23" s="63"/>
      <c r="F23" s="63"/>
      <c r="G23" s="6"/>
      <c r="H23" s="63"/>
    </row>
    <row r="24" spans="1:8" ht="19.5" customHeight="1">
      <c r="A24" s="37" t="s">
        <v>152</v>
      </c>
      <c r="B24" s="74">
        <f>B20+B22</f>
        <v>715087.3399999983</v>
      </c>
      <c r="C24" s="74"/>
      <c r="D24" s="74">
        <f>D20+D22-1</f>
        <v>-191512.35759499948</v>
      </c>
      <c r="E24" s="74"/>
      <c r="F24" s="74">
        <f>F20+F22</f>
        <v>-1803531.0900000022</v>
      </c>
      <c r="G24" s="6"/>
      <c r="H24" s="74">
        <f>H20+H22</f>
        <v>-3715923.5604299987</v>
      </c>
    </row>
    <row r="25" spans="1:8" ht="19.5" customHeight="1">
      <c r="A25" s="37"/>
      <c r="B25" s="63"/>
      <c r="C25" s="63"/>
      <c r="D25" s="63"/>
      <c r="E25" s="63"/>
      <c r="F25" s="63"/>
      <c r="G25" s="6"/>
      <c r="H25" s="6"/>
    </row>
    <row r="26" spans="1:8" ht="19.5" customHeight="1">
      <c r="A26" s="37"/>
      <c r="B26" s="63"/>
      <c r="C26" s="63"/>
      <c r="D26" s="63"/>
      <c r="E26" s="63"/>
      <c r="F26" s="63"/>
      <c r="G26" s="6"/>
      <c r="H26" s="6"/>
    </row>
    <row r="27" spans="1:8" ht="19.5" customHeight="1">
      <c r="A27" s="37"/>
      <c r="B27" s="63"/>
      <c r="C27" s="63"/>
      <c r="D27" s="63"/>
      <c r="E27" s="63"/>
      <c r="F27" s="63"/>
      <c r="G27" s="6"/>
      <c r="H27" s="6"/>
    </row>
    <row r="28" spans="1:8" ht="19.5" customHeight="1">
      <c r="A28" s="37"/>
      <c r="B28" s="63"/>
      <c r="C28" s="63"/>
      <c r="D28" s="63"/>
      <c r="E28" s="63"/>
      <c r="F28" s="63"/>
      <c r="G28" s="6"/>
      <c r="H28" s="6"/>
    </row>
    <row r="29" spans="1:8" ht="19.5" customHeight="1">
      <c r="A29" s="37" t="s">
        <v>48</v>
      </c>
      <c r="B29" s="75">
        <f>(B14+B16)/B12</f>
        <v>0.5101113551710981</v>
      </c>
      <c r="C29" s="77"/>
      <c r="D29" s="75">
        <f>(D14+D16)/D12</f>
        <v>0.7595573951595284</v>
      </c>
      <c r="E29" s="77"/>
      <c r="F29" s="75">
        <f>(F14+F16)/F12</f>
        <v>0.8689585213666241</v>
      </c>
      <c r="G29" s="75"/>
      <c r="H29" s="75">
        <f>(H14+H16)/H12</f>
        <v>0.9258736034640368</v>
      </c>
    </row>
    <row r="30" spans="1:8" ht="19.5" customHeight="1">
      <c r="A30" s="37"/>
      <c r="B30" s="76"/>
      <c r="C30" s="77"/>
      <c r="D30" s="76"/>
      <c r="E30" s="77"/>
      <c r="F30" s="76"/>
      <c r="G30" s="76"/>
      <c r="H30" s="76"/>
    </row>
    <row r="31" spans="1:8" ht="19.5" customHeight="1">
      <c r="A31" s="37" t="s">
        <v>49</v>
      </c>
      <c r="B31" s="75">
        <f>B18/B10</f>
        <v>0.2908659379434331</v>
      </c>
      <c r="C31" s="77"/>
      <c r="D31" s="75">
        <f>D18/D10</f>
        <v>0.2888177758425312</v>
      </c>
      <c r="E31" s="77"/>
      <c r="F31" s="75">
        <f>F18/F10</f>
        <v>0.29880160851351906</v>
      </c>
      <c r="G31" s="75"/>
      <c r="H31" s="75">
        <f>H18/H10</f>
        <v>0.3311201216503084</v>
      </c>
    </row>
    <row r="32" spans="1:8" ht="19.5" customHeight="1">
      <c r="A32" s="37"/>
      <c r="B32" s="76"/>
      <c r="C32" s="77"/>
      <c r="D32" s="76"/>
      <c r="E32" s="77"/>
      <c r="F32" s="76"/>
      <c r="G32" s="76"/>
      <c r="H32" s="76"/>
    </row>
    <row r="33" spans="1:8" ht="19.5" customHeight="1">
      <c r="A33" s="37" t="s">
        <v>50</v>
      </c>
      <c r="B33" s="98">
        <f>SUM(B29:B32)</f>
        <v>0.8009772931145311</v>
      </c>
      <c r="C33" s="98"/>
      <c r="D33" s="98">
        <f>SUM(D29:D31)</f>
        <v>1.0483751710020597</v>
      </c>
      <c r="E33" s="98"/>
      <c r="F33" s="98">
        <f>SUM(F29:F32)</f>
        <v>1.1677601298801432</v>
      </c>
      <c r="G33" s="98"/>
      <c r="H33" s="98">
        <f>SUM(H29:H31)</f>
        <v>1.2569937251143453</v>
      </c>
    </row>
    <row r="34" spans="1:4" ht="19.5" customHeight="1">
      <c r="A34" s="6"/>
      <c r="B34" s="99"/>
      <c r="C34" s="23"/>
      <c r="D34" s="6"/>
    </row>
    <row r="35" spans="1:4" ht="19.5" customHeight="1">
      <c r="A35" s="6"/>
      <c r="B35" s="99"/>
      <c r="C35" s="23"/>
      <c r="D35" s="6"/>
    </row>
    <row r="36" spans="1:4" ht="19.5" customHeight="1">
      <c r="A36" s="6"/>
      <c r="B36" s="99"/>
      <c r="C36" s="22"/>
      <c r="D36" s="6"/>
    </row>
    <row r="37" spans="1:4" ht="19.5" customHeight="1">
      <c r="A37" s="6"/>
      <c r="B37" s="99"/>
      <c r="C37" s="22"/>
      <c r="D37" s="6"/>
    </row>
    <row r="38" spans="1:4" ht="19.5" customHeight="1">
      <c r="A38" s="6"/>
      <c r="B38" s="99"/>
      <c r="C38" s="22"/>
      <c r="D38" s="6"/>
    </row>
    <row r="39" ht="19.5" customHeight="1">
      <c r="C39" s="36"/>
    </row>
    <row r="40" ht="19.5" customHeight="1">
      <c r="A40" s="78"/>
    </row>
  </sheetData>
  <mergeCells count="5">
    <mergeCell ref="F7:H7"/>
    <mergeCell ref="B6:D6"/>
    <mergeCell ref="B7:D7"/>
    <mergeCell ref="A2:H2"/>
    <mergeCell ref="A4:H4"/>
  </mergeCells>
  <printOptions/>
  <pageMargins left="0.75" right="0.47" top="1.03" bottom="1" header="0.5" footer="0.5"/>
  <pageSetup horizontalDpi="600" verticalDpi="600" orientation="portrait" scale="80" r:id="rId4"/>
  <headerFooter alignWithMargins="0">
    <oddHeader>&amp;REXHIBIT A,
PAGE 1 OF 10</oddHeader>
  </headerFooter>
  <drawing r:id="rId3"/>
  <legacyDrawing r:id="rId2"/>
</worksheet>
</file>

<file path=xl/worksheets/sheet2.xml><?xml version="1.0" encoding="utf-8"?>
<worksheet xmlns="http://schemas.openxmlformats.org/spreadsheetml/2006/main" xmlns:r="http://schemas.openxmlformats.org/officeDocument/2006/relationships">
  <dimension ref="A1:E54"/>
  <sheetViews>
    <sheetView tabSelected="1" zoomScale="75" zoomScaleNormal="75" workbookViewId="0" topLeftCell="A1">
      <selection activeCell="A10" sqref="A10"/>
    </sheetView>
  </sheetViews>
  <sheetFormatPr defaultColWidth="9.140625" defaultRowHeight="12.75"/>
  <cols>
    <col min="1" max="1" width="64.28125" style="6" customWidth="1"/>
    <col min="2" max="2" width="15.00390625" style="109" bestFit="1" customWidth="1"/>
    <col min="3" max="4" width="13.7109375" style="109" customWidth="1"/>
    <col min="5" max="5" width="16.140625" style="109" customWidth="1"/>
    <col min="6" max="16384" width="13.7109375" style="6" customWidth="1"/>
  </cols>
  <sheetData>
    <row r="1" spans="1:5" s="4" customFormat="1" ht="23.25">
      <c r="A1" s="462" t="s">
        <v>177</v>
      </c>
      <c r="B1" s="462"/>
      <c r="C1" s="462"/>
      <c r="D1" s="462"/>
      <c r="E1" s="462"/>
    </row>
    <row r="2" spans="1:5" s="4" customFormat="1" ht="19.5">
      <c r="A2" s="461"/>
      <c r="B2" s="461"/>
      <c r="C2" s="461"/>
      <c r="D2" s="461"/>
      <c r="E2" s="461"/>
    </row>
    <row r="3" spans="1:5" s="412" customFormat="1" ht="15">
      <c r="A3" s="463" t="s">
        <v>158</v>
      </c>
      <c r="B3" s="463"/>
      <c r="C3" s="463"/>
      <c r="D3" s="463"/>
      <c r="E3" s="463"/>
    </row>
    <row r="4" spans="1:5" s="412" customFormat="1" ht="15">
      <c r="A4" s="464" t="s">
        <v>139</v>
      </c>
      <c r="B4" s="464"/>
      <c r="C4" s="464"/>
      <c r="D4" s="464"/>
      <c r="E4" s="464"/>
    </row>
    <row r="5" spans="1:5" ht="14.25">
      <c r="A5" s="5"/>
      <c r="B5" s="127"/>
      <c r="C5" s="127"/>
      <c r="D5" s="127"/>
      <c r="E5" s="127"/>
    </row>
    <row r="6" spans="1:5" ht="45">
      <c r="A6" s="5"/>
      <c r="B6" s="126" t="s">
        <v>159</v>
      </c>
      <c r="C6" s="126" t="s">
        <v>160</v>
      </c>
      <c r="D6" s="126" t="s">
        <v>161</v>
      </c>
      <c r="E6" s="126" t="s">
        <v>162</v>
      </c>
    </row>
    <row r="7" spans="1:5" ht="15">
      <c r="A7" s="7" t="s">
        <v>179</v>
      </c>
      <c r="B7" s="167"/>
      <c r="C7" s="167"/>
      <c r="D7" s="167"/>
      <c r="E7" s="168"/>
    </row>
    <row r="8" spans="1:5" ht="14.25">
      <c r="A8" s="8" t="s">
        <v>163</v>
      </c>
      <c r="B8" s="169"/>
      <c r="C8" s="169"/>
      <c r="D8" s="169"/>
      <c r="E8" s="169"/>
    </row>
    <row r="9" spans="1:5" ht="14.25">
      <c r="A9" s="8" t="s">
        <v>164</v>
      </c>
      <c r="B9" s="442">
        <f>'[6]3Q03 TRIAL BALANCE'!F13+'[6]3Q03 TRIAL BALANCE'!F19</f>
        <v>9084002.41</v>
      </c>
      <c r="C9" s="169">
        <v>0</v>
      </c>
      <c r="D9" s="169">
        <v>0</v>
      </c>
      <c r="E9" s="442">
        <f>SUM(B9:D9)</f>
        <v>9084002.41</v>
      </c>
    </row>
    <row r="10" spans="1:5" ht="14.25">
      <c r="A10" s="8" t="s">
        <v>180</v>
      </c>
      <c r="B10" s="169">
        <v>0</v>
      </c>
      <c r="C10" s="169">
        <f>'Earned Incurred YTD-p6'!B49</f>
        <v>6721.74</v>
      </c>
      <c r="D10" s="169">
        <v>0</v>
      </c>
      <c r="E10" s="169">
        <f>SUM(B10:D10)</f>
        <v>6721.74</v>
      </c>
    </row>
    <row r="11" spans="1:5" ht="14.25" customHeight="1">
      <c r="A11" s="8" t="s">
        <v>181</v>
      </c>
      <c r="B11" s="169">
        <f>429236.4-230047.81</f>
        <v>199188.59000000003</v>
      </c>
      <c r="C11" s="169">
        <v>0</v>
      </c>
      <c r="D11" s="169">
        <f>B11</f>
        <v>199188.59000000003</v>
      </c>
      <c r="E11" s="169">
        <f>+B11-D11</f>
        <v>0</v>
      </c>
    </row>
    <row r="12" spans="1:5" ht="14.25" customHeight="1">
      <c r="A12" s="8" t="s">
        <v>183</v>
      </c>
      <c r="B12" s="169">
        <f>89129.38-37302.43</f>
        <v>51826.950000000004</v>
      </c>
      <c r="C12" s="169">
        <v>0</v>
      </c>
      <c r="D12" s="169">
        <v>0</v>
      </c>
      <c r="E12" s="169">
        <f>+B12-D12</f>
        <v>51826.950000000004</v>
      </c>
    </row>
    <row r="13" spans="1:5" ht="15.75" customHeight="1">
      <c r="A13" s="8" t="s">
        <v>184</v>
      </c>
      <c r="B13" s="169">
        <f>75838.16-25090.7</f>
        <v>50747.46000000001</v>
      </c>
      <c r="C13" s="169">
        <v>0</v>
      </c>
      <c r="D13" s="169">
        <f>B13</f>
        <v>50747.46000000001</v>
      </c>
      <c r="E13" s="169">
        <f>+B13-D13</f>
        <v>0</v>
      </c>
    </row>
    <row r="14" spans="1:5" ht="14.25" hidden="1">
      <c r="A14" s="6" t="s">
        <v>20</v>
      </c>
      <c r="B14" s="170"/>
      <c r="C14" s="169">
        <v>0</v>
      </c>
      <c r="D14" s="169">
        <v>0</v>
      </c>
      <c r="E14" s="169">
        <f>B14+C14-D14</f>
        <v>0</v>
      </c>
    </row>
    <row r="15" spans="1:5" ht="14.25" hidden="1">
      <c r="A15" s="6" t="s">
        <v>281</v>
      </c>
      <c r="B15" s="169"/>
      <c r="C15" s="169">
        <v>0</v>
      </c>
      <c r="D15" s="169">
        <v>0</v>
      </c>
      <c r="E15" s="169">
        <f>+B15-D15</f>
        <v>0</v>
      </c>
    </row>
    <row r="16" spans="1:5" ht="14.25">
      <c r="A16" s="6" t="s">
        <v>20</v>
      </c>
      <c r="B16" s="171">
        <f>'[6]3Q03 TRIAL BALANCE'!F25+1</f>
        <v>8356.49</v>
      </c>
      <c r="C16" s="169">
        <v>0</v>
      </c>
      <c r="D16" s="169">
        <v>0</v>
      </c>
      <c r="E16" s="169">
        <f>+B16-C16-D16</f>
        <v>8356.49</v>
      </c>
    </row>
    <row r="17" spans="1:5" ht="15">
      <c r="A17" s="10" t="s">
        <v>185</v>
      </c>
      <c r="B17" s="443">
        <f>SUM(B9:B16)-1</f>
        <v>9394120.9</v>
      </c>
      <c r="C17" s="443">
        <f>SUM(C9:C16)</f>
        <v>6721.74</v>
      </c>
      <c r="D17" s="443">
        <f>SUM(D9:D16)</f>
        <v>249936.05000000005</v>
      </c>
      <c r="E17" s="443">
        <f>SUM(E9:E16)-1</f>
        <v>9150906.59</v>
      </c>
    </row>
    <row r="18" spans="1:5" ht="15" customHeight="1">
      <c r="A18" s="11"/>
      <c r="B18" s="172"/>
      <c r="C18" s="172"/>
      <c r="D18" s="172"/>
      <c r="E18" s="172"/>
    </row>
    <row r="19" spans="1:5" ht="15" customHeight="1">
      <c r="A19" s="12" t="s">
        <v>186</v>
      </c>
      <c r="B19" s="172"/>
      <c r="C19" s="172"/>
      <c r="D19" s="172"/>
      <c r="E19" s="172"/>
    </row>
    <row r="20" spans="1:5" ht="15" customHeight="1">
      <c r="A20" s="11" t="s">
        <v>187</v>
      </c>
      <c r="B20" s="172"/>
      <c r="C20" s="172"/>
      <c r="D20" s="84" t="s">
        <v>187</v>
      </c>
      <c r="E20" s="172"/>
    </row>
    <row r="21" spans="1:5" ht="15" customHeight="1">
      <c r="A21" s="9" t="s">
        <v>17</v>
      </c>
      <c r="B21" s="172"/>
      <c r="C21" s="173"/>
      <c r="D21" s="69">
        <f>-'[6]3Q03 TRIAL BALANCE'!F169</f>
        <v>1055024</v>
      </c>
      <c r="E21" s="172"/>
    </row>
    <row r="22" spans="1:5" ht="15" customHeight="1">
      <c r="A22" s="9" t="s">
        <v>18</v>
      </c>
      <c r="B22" s="172"/>
      <c r="C22" s="173"/>
      <c r="D22" s="69">
        <f>-'[6]3Q03 TRIAL BALANCE'!F171</f>
        <v>679897</v>
      </c>
      <c r="E22" s="172"/>
    </row>
    <row r="23" spans="1:5" ht="15" customHeight="1">
      <c r="A23" s="9" t="s">
        <v>37</v>
      </c>
      <c r="B23" s="172"/>
      <c r="C23" s="173"/>
      <c r="D23" s="69">
        <f>-'[6]3Q03 TRIAL BALANCE'!F151-'[6]3Q03 TRIAL BALANCE'!F167</f>
        <v>475811.35</v>
      </c>
      <c r="E23" s="172"/>
    </row>
    <row r="24" spans="1:5" ht="15" customHeight="1">
      <c r="A24" s="9" t="s">
        <v>23</v>
      </c>
      <c r="B24" s="172"/>
      <c r="C24" s="173"/>
      <c r="D24" s="69">
        <f>-'[6]3Q03 TRIAL BALANCE'!F175</f>
        <v>402054</v>
      </c>
      <c r="E24" s="172"/>
    </row>
    <row r="25" spans="1:5" ht="15" customHeight="1">
      <c r="A25" s="9" t="s">
        <v>118</v>
      </c>
      <c r="B25" s="172"/>
      <c r="C25" s="174"/>
      <c r="D25" s="69">
        <f>-'[6]3Q03 TRIAL BALANCE'!F179</f>
        <v>103133.56000000003</v>
      </c>
      <c r="E25" s="172"/>
    </row>
    <row r="26" spans="1:5" ht="15" customHeight="1">
      <c r="A26" s="9" t="s">
        <v>130</v>
      </c>
      <c r="B26" s="172"/>
      <c r="C26" s="174"/>
      <c r="D26" s="69">
        <f>-'[6]3Q03 TRIAL BALANCE'!F133</f>
        <v>12097.4</v>
      </c>
      <c r="E26" s="172"/>
    </row>
    <row r="27" spans="1:5" ht="15" customHeight="1">
      <c r="A27" s="9" t="s">
        <v>119</v>
      </c>
      <c r="B27" s="172"/>
      <c r="C27" s="173"/>
      <c r="D27" s="175">
        <f>-'[6]3Q03 TRIAL BALANCE'!F131</f>
        <v>29989.640000000003</v>
      </c>
      <c r="E27" s="176"/>
    </row>
    <row r="28" spans="1:5" ht="15" customHeight="1">
      <c r="A28" s="9"/>
      <c r="C28" s="172"/>
      <c r="D28" s="84"/>
      <c r="E28" s="177"/>
    </row>
    <row r="29" spans="1:5" ht="15" customHeight="1">
      <c r="A29" s="10" t="s">
        <v>188</v>
      </c>
      <c r="B29" s="172"/>
      <c r="C29" s="172"/>
      <c r="D29" s="177"/>
      <c r="E29" s="178">
        <f>SUM(D21:D28)</f>
        <v>2758006.95</v>
      </c>
    </row>
    <row r="30" spans="1:5" ht="15" customHeight="1">
      <c r="A30" s="11"/>
      <c r="B30" s="172"/>
      <c r="C30" s="172"/>
      <c r="D30" s="172"/>
      <c r="E30" s="172"/>
    </row>
    <row r="31" spans="1:5" ht="15" customHeight="1">
      <c r="A31" s="12" t="s">
        <v>189</v>
      </c>
      <c r="B31" s="172"/>
      <c r="C31" s="172"/>
      <c r="D31" s="172"/>
      <c r="E31" s="172"/>
    </row>
    <row r="32" spans="1:5" ht="15" customHeight="1">
      <c r="A32" s="9" t="s">
        <v>190</v>
      </c>
      <c r="B32" s="172"/>
      <c r="C32" s="173"/>
      <c r="D32" s="172">
        <f>'Earned Incurred YTD-p6'!B13</f>
        <v>10606891</v>
      </c>
      <c r="E32" s="172"/>
    </row>
    <row r="33" spans="1:5" ht="15" customHeight="1">
      <c r="A33" s="9" t="s">
        <v>34</v>
      </c>
      <c r="B33" s="172"/>
      <c r="C33" s="173"/>
      <c r="D33" s="172">
        <f>-'[6]3Q03 TRIAL BALANCE'!F62</f>
        <v>4716771.18</v>
      </c>
      <c r="E33" s="172"/>
    </row>
    <row r="34" spans="1:5" ht="15" customHeight="1">
      <c r="A34" s="9" t="s">
        <v>297</v>
      </c>
      <c r="B34" s="172"/>
      <c r="C34" s="173"/>
      <c r="D34" s="172">
        <f>-'[6]3Q03 TRIAL BALANCE'!F69</f>
        <v>1517243.1000000003</v>
      </c>
      <c r="E34" s="172"/>
    </row>
    <row r="35" spans="1:5" ht="15" customHeight="1">
      <c r="A35" s="9" t="s">
        <v>298</v>
      </c>
      <c r="B35" s="172"/>
      <c r="C35" s="173"/>
      <c r="D35" s="172">
        <f>-'[6]3Q03 TRIAL BALANCE'!F97</f>
        <v>346402.18999999994</v>
      </c>
      <c r="E35" s="172"/>
    </row>
    <row r="36" spans="1:5" ht="15" customHeight="1">
      <c r="A36" s="9" t="s">
        <v>299</v>
      </c>
      <c r="B36" s="173"/>
      <c r="C36" s="173"/>
      <c r="D36" s="172">
        <f>-'[6]3Q03 TRIAL BALANCE'!F122</f>
        <v>178321.96</v>
      </c>
      <c r="E36" s="172"/>
    </row>
    <row r="37" spans="1:5" ht="15" customHeight="1">
      <c r="A37" s="9" t="s">
        <v>150</v>
      </c>
      <c r="B37" s="172"/>
      <c r="C37" s="173"/>
      <c r="D37" s="109">
        <f>-'[6]3Q03 TRIAL BALANCE'!F142</f>
        <v>305437.57999999996</v>
      </c>
      <c r="E37" s="172"/>
    </row>
    <row r="38" spans="1:5" ht="15" customHeight="1">
      <c r="A38" s="9" t="s">
        <v>117</v>
      </c>
      <c r="B38" s="172"/>
      <c r="C38" s="172"/>
      <c r="D38" s="179">
        <f>'Earned Incurred YTD-p6'!B33</f>
        <v>42827.65</v>
      </c>
      <c r="E38" s="172"/>
    </row>
    <row r="39" spans="1:5" ht="15" customHeight="1">
      <c r="A39" s="9"/>
      <c r="B39" s="172"/>
      <c r="C39" s="172"/>
      <c r="D39" s="177"/>
      <c r="E39" s="172"/>
    </row>
    <row r="40" spans="1:5" ht="15" customHeight="1">
      <c r="A40" s="13" t="s">
        <v>282</v>
      </c>
      <c r="B40" s="172"/>
      <c r="C40" s="172"/>
      <c r="D40" s="173"/>
      <c r="E40" s="176">
        <f>SUM(D32:D38)</f>
        <v>17713894.66</v>
      </c>
    </row>
    <row r="41" spans="1:5" ht="15" customHeight="1">
      <c r="A41" s="13"/>
      <c r="B41" s="172"/>
      <c r="C41" s="172"/>
      <c r="D41" s="173"/>
      <c r="E41" s="180"/>
    </row>
    <row r="42" spans="1:5" ht="15" customHeight="1">
      <c r="A42" s="10" t="s">
        <v>192</v>
      </c>
      <c r="B42" s="172"/>
      <c r="C42" s="172"/>
      <c r="D42" s="173"/>
      <c r="E42" s="181">
        <f>E40+E29</f>
        <v>20471901.61</v>
      </c>
    </row>
    <row r="43" spans="1:5" ht="15" customHeight="1">
      <c r="A43" s="11"/>
      <c r="B43" s="172"/>
      <c r="C43" s="172"/>
      <c r="D43" s="173"/>
      <c r="E43" s="172"/>
    </row>
    <row r="44" spans="1:5" ht="15" customHeight="1">
      <c r="A44" s="12" t="s">
        <v>193</v>
      </c>
      <c r="B44" s="172"/>
      <c r="C44" s="172"/>
      <c r="D44" s="173"/>
      <c r="E44" s="172"/>
    </row>
    <row r="45" spans="1:5" ht="15" customHeight="1">
      <c r="A45" s="9" t="s">
        <v>141</v>
      </c>
      <c r="B45" s="172"/>
      <c r="C45" s="172"/>
      <c r="D45" s="173"/>
      <c r="E45" s="182">
        <f>+E17-E42</f>
        <v>-11320995.02</v>
      </c>
    </row>
    <row r="46" spans="1:5" ht="15" customHeight="1">
      <c r="A46" s="11"/>
      <c r="B46" s="173"/>
      <c r="C46" s="173"/>
      <c r="D46" s="173"/>
      <c r="E46" s="172"/>
    </row>
    <row r="47" spans="1:5" ht="15" customHeight="1" thickBot="1">
      <c r="A47" s="13" t="s">
        <v>194</v>
      </c>
      <c r="B47" s="172"/>
      <c r="C47" s="172"/>
      <c r="D47" s="172"/>
      <c r="E47" s="444">
        <f>E42+E45</f>
        <v>9150906.59</v>
      </c>
    </row>
    <row r="48" spans="1:5" ht="15" thickTop="1">
      <c r="A48" s="11"/>
      <c r="B48" s="172"/>
      <c r="C48" s="172"/>
      <c r="D48" s="172"/>
      <c r="E48" s="172"/>
    </row>
    <row r="49" spans="1:5" ht="14.25">
      <c r="A49" s="11"/>
      <c r="B49" s="183"/>
      <c r="C49" s="183"/>
      <c r="D49" s="183"/>
      <c r="E49" s="172"/>
    </row>
    <row r="50" ht="14.25">
      <c r="E50" s="183"/>
    </row>
    <row r="51" ht="14.25">
      <c r="E51" s="183"/>
    </row>
    <row r="52" ht="14.25">
      <c r="E52" s="183"/>
    </row>
    <row r="53" ht="14.25">
      <c r="E53" s="183"/>
    </row>
    <row r="54" ht="14.25">
      <c r="E54" s="183"/>
    </row>
  </sheetData>
  <mergeCells count="4">
    <mergeCell ref="A2:E2"/>
    <mergeCell ref="A1:E1"/>
    <mergeCell ref="A3:E3"/>
    <mergeCell ref="A4:E4"/>
  </mergeCells>
  <printOptions horizontalCentered="1"/>
  <pageMargins left="0.25" right="0.25" top="0.75" bottom="0.75" header="0.25" footer="0.25"/>
  <pageSetup horizontalDpi="300" verticalDpi="300" orientation="portrait" scale="80" r:id="rId1"/>
  <headerFooter alignWithMargins="0">
    <oddFooter>&amp;CPage 1
</oddFooter>
  </headerFooter>
</worksheet>
</file>

<file path=xl/worksheets/sheet3.xml><?xml version="1.0" encoding="utf-8"?>
<worksheet xmlns="http://schemas.openxmlformats.org/spreadsheetml/2006/main" xmlns:r="http://schemas.openxmlformats.org/officeDocument/2006/relationships">
  <dimension ref="A1:E40"/>
  <sheetViews>
    <sheetView zoomScale="75" zoomScaleNormal="75" workbookViewId="0" topLeftCell="A1">
      <selection activeCell="C11" sqref="C11"/>
    </sheetView>
  </sheetViews>
  <sheetFormatPr defaultColWidth="9.140625" defaultRowHeight="12.75"/>
  <cols>
    <col min="1" max="1" width="45.8515625" style="15" bestFit="1" customWidth="1"/>
    <col min="2" max="5" width="17.7109375" style="70" customWidth="1"/>
    <col min="6" max="16384" width="9.140625" style="15" customWidth="1"/>
  </cols>
  <sheetData>
    <row r="1" spans="1:5" s="67" customFormat="1" ht="23.25">
      <c r="A1" s="466" t="s">
        <v>177</v>
      </c>
      <c r="B1" s="466"/>
      <c r="C1" s="466"/>
      <c r="D1" s="466"/>
      <c r="E1" s="466"/>
    </row>
    <row r="2" spans="1:5" s="17" customFormat="1" ht="18.75">
      <c r="A2" s="465"/>
      <c r="B2" s="465"/>
      <c r="C2" s="465"/>
      <c r="D2" s="465"/>
      <c r="E2" s="465"/>
    </row>
    <row r="3" spans="1:5" s="19" customFormat="1" ht="15">
      <c r="A3" s="467" t="s">
        <v>195</v>
      </c>
      <c r="B3" s="467"/>
      <c r="C3" s="467"/>
      <c r="D3" s="467"/>
      <c r="E3" s="467"/>
    </row>
    <row r="4" spans="1:5" s="19" customFormat="1" ht="15">
      <c r="A4" s="468" t="s">
        <v>139</v>
      </c>
      <c r="B4" s="468"/>
      <c r="C4" s="468"/>
      <c r="D4" s="468"/>
      <c r="E4" s="468"/>
    </row>
    <row r="5" spans="1:5" s="19" customFormat="1" ht="15">
      <c r="A5" s="18"/>
      <c r="B5" s="201"/>
      <c r="C5" s="201"/>
      <c r="D5" s="201"/>
      <c r="E5" s="201"/>
    </row>
    <row r="6" spans="1:3" ht="14.25">
      <c r="A6" s="20"/>
      <c r="B6" s="202"/>
      <c r="C6" s="202"/>
    </row>
    <row r="7" spans="2:5" ht="15">
      <c r="B7" s="203" t="s">
        <v>157</v>
      </c>
      <c r="C7" s="203"/>
      <c r="D7" s="203" t="s">
        <v>196</v>
      </c>
      <c r="E7" s="203"/>
    </row>
    <row r="8" spans="1:5" ht="15">
      <c r="A8" s="21"/>
      <c r="B8" s="190" t="s">
        <v>293</v>
      </c>
      <c r="C8" s="190"/>
      <c r="D8" s="190" t="s">
        <v>197</v>
      </c>
      <c r="E8" s="190"/>
    </row>
    <row r="9" spans="2:5" ht="15">
      <c r="B9" s="204"/>
      <c r="C9" s="323"/>
      <c r="D9" s="204"/>
      <c r="E9" s="205"/>
    </row>
    <row r="10" spans="1:5" ht="15">
      <c r="A10" s="21" t="s">
        <v>199</v>
      </c>
      <c r="B10" s="204"/>
      <c r="C10" s="205"/>
      <c r="D10" s="204"/>
      <c r="E10" s="205"/>
    </row>
    <row r="11" spans="1:5" ht="15">
      <c r="A11" s="21"/>
      <c r="B11" s="204"/>
      <c r="C11" s="205"/>
      <c r="D11" s="204"/>
      <c r="E11" s="205"/>
    </row>
    <row r="12" spans="1:5" ht="15">
      <c r="A12" s="15" t="s">
        <v>200</v>
      </c>
      <c r="C12" s="440">
        <f>'Earned Incurred QTD-p5'!D16</f>
        <v>4977049</v>
      </c>
      <c r="D12" s="342"/>
      <c r="E12" s="440">
        <f>'Earned Incurred YTD-p6'!D16</f>
        <v>14052348</v>
      </c>
    </row>
    <row r="13" spans="1:5" ht="15">
      <c r="A13" s="21"/>
      <c r="C13" s="206"/>
      <c r="E13" s="206"/>
    </row>
    <row r="14" spans="1:5" ht="15">
      <c r="A14" s="21" t="s">
        <v>201</v>
      </c>
      <c r="C14" s="206"/>
      <c r="E14" s="206"/>
    </row>
    <row r="15" spans="1:5" ht="14.25">
      <c r="A15" s="15" t="s">
        <v>202</v>
      </c>
      <c r="B15" s="70">
        <f>'Earned Incurred QTD-p5'!D23</f>
        <v>3008827.2250000006</v>
      </c>
      <c r="C15" s="206"/>
      <c r="D15" s="70">
        <f>'Earned Incurred YTD-p6'!D23</f>
        <v>10083053.040000003</v>
      </c>
      <c r="E15" s="206"/>
    </row>
    <row r="16" spans="1:5" ht="14.25">
      <c r="A16" s="15" t="s">
        <v>203</v>
      </c>
      <c r="B16" s="70">
        <f>'Earned Incurred QTD-p5'!D30</f>
        <v>391930.13999999996</v>
      </c>
      <c r="C16" s="206"/>
      <c r="D16" s="70">
        <f>'Earned Incurred YTD-p6'!D30</f>
        <v>1203762.75</v>
      </c>
      <c r="E16" s="206"/>
    </row>
    <row r="17" spans="1:5" ht="14.25">
      <c r="A17" s="15" t="s">
        <v>204</v>
      </c>
      <c r="B17" s="70">
        <f>'Earned Incurred QTD-p5'!D37</f>
        <v>502893.80000000005</v>
      </c>
      <c r="C17" s="206"/>
      <c r="D17" s="70">
        <f>+'Earned Incurred YTD-p6'!D37</f>
        <v>1421253.0999999999</v>
      </c>
      <c r="E17" s="206"/>
    </row>
    <row r="18" spans="1:5" ht="14.25">
      <c r="A18" s="15" t="s">
        <v>205</v>
      </c>
      <c r="B18" s="70">
        <f>'Earned Incurred QTD-p5'!C39+'Earned Incurred QTD-p5'!C38+'Earned Incurred QTD-p5'!C43</f>
        <v>1078138.9600000002</v>
      </c>
      <c r="C18" s="206"/>
      <c r="D18" s="70">
        <f>'Earned Incurred YTD-p6'!C38+'Earned Incurred YTD-p6'!C39+'Earned Incurred YTD-p6'!C43</f>
        <v>3156457.869999998</v>
      </c>
      <c r="E18" s="206"/>
    </row>
    <row r="19" spans="1:5" ht="14.25">
      <c r="A19" s="15" t="s">
        <v>145</v>
      </c>
      <c r="B19" s="85">
        <f>'Earned Incurred QTD-p5'!D36</f>
        <v>19861.65</v>
      </c>
      <c r="C19" s="206"/>
      <c r="D19" s="85">
        <f>'Earned Incurred YTD-p6'!D36</f>
        <v>77491.65</v>
      </c>
      <c r="E19" s="206"/>
    </row>
    <row r="20" spans="1:5" ht="14.25">
      <c r="A20" s="15" t="s">
        <v>206</v>
      </c>
      <c r="C20" s="207">
        <f>SUM(B15:B19)</f>
        <v>5001651.775000001</v>
      </c>
      <c r="E20" s="207">
        <f>SUM(D15:D19)+1</f>
        <v>15942019.41</v>
      </c>
    </row>
    <row r="21" spans="3:5" ht="14.25">
      <c r="C21" s="206"/>
      <c r="E21" s="206"/>
    </row>
    <row r="22" spans="1:5" ht="14.25">
      <c r="A22" s="15" t="s">
        <v>283</v>
      </c>
      <c r="C22" s="207">
        <f>C12-C20</f>
        <v>-24602.775000001304</v>
      </c>
      <c r="E22" s="207">
        <f>E12-E20</f>
        <v>-1889671.4100000001</v>
      </c>
    </row>
    <row r="23" spans="1:5" ht="15">
      <c r="A23" s="21"/>
      <c r="C23" s="206"/>
      <c r="E23" s="206"/>
    </row>
    <row r="24" spans="1:5" ht="15">
      <c r="A24" s="21" t="s">
        <v>207</v>
      </c>
      <c r="C24" s="206"/>
      <c r="E24" s="206"/>
    </row>
    <row r="25" spans="1:5" ht="14.25">
      <c r="A25" s="15" t="s">
        <v>208</v>
      </c>
      <c r="C25" s="207">
        <f>'Earned Incurred QTD-p5'!D52</f>
        <v>26859.149999999994</v>
      </c>
      <c r="E25" s="207">
        <f>'Earned Incurred YTD-p6'!D52</f>
        <v>88395.67</v>
      </c>
    </row>
    <row r="26" spans="3:5" ht="14.25">
      <c r="C26" s="206"/>
      <c r="E26" s="206"/>
    </row>
    <row r="27" spans="1:5" ht="15" thickBot="1">
      <c r="A27" s="15" t="s">
        <v>284</v>
      </c>
      <c r="C27" s="208">
        <f>C22+C25</f>
        <v>2256.3749999986903</v>
      </c>
      <c r="E27" s="208">
        <f>E22+E25+1</f>
        <v>-1801274.7400000002</v>
      </c>
    </row>
    <row r="28" spans="1:5" ht="15">
      <c r="A28" s="21"/>
      <c r="C28" s="225"/>
      <c r="E28" s="206"/>
    </row>
    <row r="29" spans="1:5" ht="15">
      <c r="A29" s="21" t="s">
        <v>193</v>
      </c>
      <c r="C29" s="206"/>
      <c r="E29" s="206"/>
    </row>
    <row r="30" spans="1:5" ht="14.25">
      <c r="A30" s="15" t="s">
        <v>209</v>
      </c>
      <c r="C30" s="206">
        <f>'[7]Balance Sheet-p1'!$E$45</f>
        <v>-11338276.419999996</v>
      </c>
      <c r="E30" s="206">
        <f>'[7]Income Statement-p2'!$E$30</f>
        <v>-9552178.5</v>
      </c>
    </row>
    <row r="31" spans="1:5" ht="14.25">
      <c r="A31" s="15" t="s">
        <v>285</v>
      </c>
      <c r="B31" s="70">
        <f>C27</f>
        <v>2256.3749999986903</v>
      </c>
      <c r="C31" s="206"/>
      <c r="D31" s="70">
        <f>+'Earned Incurred YTD-p6'!D54</f>
        <v>-1801274.7400000002</v>
      </c>
      <c r="E31" s="206"/>
    </row>
    <row r="32" spans="1:5" ht="14.25" customHeight="1">
      <c r="A32" s="15" t="s">
        <v>210</v>
      </c>
      <c r="B32" s="85">
        <v>15024.93</v>
      </c>
      <c r="C32" s="206"/>
      <c r="D32" s="326">
        <f>32458.12+1</f>
        <v>32459.12</v>
      </c>
      <c r="E32" s="206"/>
    </row>
    <row r="33" spans="1:5" ht="14.25" hidden="1">
      <c r="A33" s="15" t="s">
        <v>35</v>
      </c>
      <c r="B33" s="70">
        <v>0</v>
      </c>
      <c r="C33" s="206"/>
      <c r="D33" s="220">
        <f>-40790-4979.98-26-1710</f>
        <v>-47505.979999999996</v>
      </c>
      <c r="E33" s="206"/>
    </row>
    <row r="34" spans="1:5" ht="14.25" hidden="1">
      <c r="A34" s="15" t="s">
        <v>36</v>
      </c>
      <c r="B34" s="85">
        <v>0</v>
      </c>
      <c r="C34" s="206"/>
      <c r="D34" s="85">
        <v>0</v>
      </c>
      <c r="E34" s="206"/>
    </row>
    <row r="35" spans="1:5" ht="14.25">
      <c r="A35" s="15" t="s">
        <v>211</v>
      </c>
      <c r="C35" s="206">
        <f>SUM(B31:B32)</f>
        <v>17281.30499999869</v>
      </c>
      <c r="E35" s="206">
        <f>SUM(D31:D32)</f>
        <v>-1768815.62</v>
      </c>
    </row>
    <row r="36" spans="3:5" ht="14.25">
      <c r="C36" s="206"/>
      <c r="E36" s="206"/>
    </row>
    <row r="37" spans="1:5" ht="15.75" thickBot="1">
      <c r="A37" s="67" t="s">
        <v>140</v>
      </c>
      <c r="C37" s="441">
        <f>C30+C35</f>
        <v>-11320995.114999998</v>
      </c>
      <c r="D37" s="342"/>
      <c r="E37" s="441">
        <f>E30+E35-1</f>
        <v>-11320995.120000001</v>
      </c>
    </row>
    <row r="38" spans="2:5" s="6" customFormat="1" ht="15" thickTop="1">
      <c r="B38" s="109"/>
      <c r="C38" s="109"/>
      <c r="D38" s="226"/>
      <c r="E38" s="109"/>
    </row>
    <row r="40" ht="14.25">
      <c r="C40" s="226"/>
    </row>
  </sheetData>
  <mergeCells count="4">
    <mergeCell ref="A2:E2"/>
    <mergeCell ref="A1:E1"/>
    <mergeCell ref="A3:E3"/>
    <mergeCell ref="A4:E4"/>
  </mergeCells>
  <printOptions horizontalCentered="1"/>
  <pageMargins left="0.25" right="0.25" top="0.75" bottom="0.75" header="0.5" footer="0.5"/>
  <pageSetup orientation="portrait" scale="80" r:id="rId1"/>
  <headerFooter alignWithMargins="0">
    <oddFooter>&amp;CPage 2
</oddFooter>
  </headerFooter>
</worksheet>
</file>

<file path=xl/worksheets/sheet4.xml><?xml version="1.0" encoding="utf-8"?>
<worksheet xmlns="http://schemas.openxmlformats.org/spreadsheetml/2006/main" xmlns:r="http://schemas.openxmlformats.org/officeDocument/2006/relationships">
  <dimension ref="A1:H67"/>
  <sheetViews>
    <sheetView zoomScale="75" zoomScaleNormal="75" workbookViewId="0" topLeftCell="A40">
      <selection activeCell="G54" sqref="A1:G54"/>
    </sheetView>
  </sheetViews>
  <sheetFormatPr defaultColWidth="9.140625" defaultRowHeight="15" customHeight="1"/>
  <cols>
    <col min="1" max="1" width="41.57421875" style="29" customWidth="1"/>
    <col min="2" max="2" width="15.7109375" style="108" customWidth="1"/>
    <col min="3" max="5" width="15.7109375" style="222" customWidth="1"/>
    <col min="6" max="6" width="15.7109375" style="224" customWidth="1"/>
    <col min="7" max="7" width="16.421875" style="224" customWidth="1"/>
    <col min="8" max="8" width="10.28125" style="29" bestFit="1" customWidth="1"/>
    <col min="9" max="16384" width="9.140625" style="29" customWidth="1"/>
  </cols>
  <sheetData>
    <row r="1" spans="1:7" s="94" customFormat="1" ht="25.5">
      <c r="A1" s="469" t="s">
        <v>177</v>
      </c>
      <c r="B1" s="469"/>
      <c r="C1" s="469"/>
      <c r="D1" s="469"/>
      <c r="E1" s="469"/>
      <c r="F1" s="469"/>
      <c r="G1" s="469"/>
    </row>
    <row r="2" spans="1:7" s="26" customFormat="1" ht="18.75">
      <c r="A2" s="461"/>
      <c r="B2" s="461"/>
      <c r="C2" s="461"/>
      <c r="D2" s="461"/>
      <c r="E2" s="461"/>
      <c r="F2" s="461"/>
      <c r="G2" s="461"/>
    </row>
    <row r="3" spans="1:7" s="388" customFormat="1" ht="15.75">
      <c r="A3" s="470" t="s">
        <v>212</v>
      </c>
      <c r="B3" s="470"/>
      <c r="C3" s="470"/>
      <c r="D3" s="470"/>
      <c r="E3" s="470"/>
      <c r="F3" s="470"/>
      <c r="G3" s="470"/>
    </row>
    <row r="4" spans="1:7" s="388" customFormat="1" ht="15.75">
      <c r="A4" s="470" t="s">
        <v>132</v>
      </c>
      <c r="B4" s="470"/>
      <c r="C4" s="470"/>
      <c r="D4" s="470"/>
      <c r="E4" s="470"/>
      <c r="F4" s="470"/>
      <c r="G4" s="470"/>
    </row>
    <row r="5" spans="1:7" s="28" customFormat="1" ht="18.75">
      <c r="A5" s="27"/>
      <c r="B5" s="221"/>
      <c r="C5" s="221"/>
      <c r="D5" s="221"/>
      <c r="E5" s="221"/>
      <c r="F5" s="201"/>
      <c r="G5" s="223"/>
    </row>
    <row r="6" spans="2:7" s="389" customFormat="1" ht="34.5" customHeight="1">
      <c r="B6" s="437" t="s">
        <v>30</v>
      </c>
      <c r="C6" s="437" t="s">
        <v>31</v>
      </c>
      <c r="D6" s="437" t="s">
        <v>151</v>
      </c>
      <c r="E6" s="437" t="s">
        <v>165</v>
      </c>
      <c r="F6" s="437" t="s">
        <v>143</v>
      </c>
      <c r="G6" s="437" t="s">
        <v>178</v>
      </c>
    </row>
    <row r="7" spans="1:7" s="393" customFormat="1" ht="15" customHeight="1">
      <c r="A7" s="390" t="s">
        <v>214</v>
      </c>
      <c r="B7" s="391"/>
      <c r="C7" s="391"/>
      <c r="D7" s="391"/>
      <c r="E7" s="391"/>
      <c r="F7" s="391"/>
      <c r="G7" s="392"/>
    </row>
    <row r="8" spans="1:7" s="396" customFormat="1" ht="15" customHeight="1">
      <c r="A8" s="394" t="s">
        <v>215</v>
      </c>
      <c r="B8" s="438">
        <f>+'Premiums QTD-p7'!B11</f>
        <v>5570905</v>
      </c>
      <c r="C8" s="438">
        <f>+'Premiums QTD-p7'!C11</f>
        <v>-29535</v>
      </c>
      <c r="D8" s="438">
        <f>+'Premiums QTD-p7'!D11</f>
        <v>-675</v>
      </c>
      <c r="E8" s="438">
        <f>+'Premiums QTD-p7'!E11</f>
        <v>-442</v>
      </c>
      <c r="F8" s="395">
        <f>+'Premiums QTD-p7'!F11</f>
        <v>0</v>
      </c>
      <c r="G8" s="438">
        <f>SUM(B8:F8)</f>
        <v>5540253</v>
      </c>
    </row>
    <row r="9" spans="1:7" s="396" customFormat="1" ht="15" customHeight="1">
      <c r="A9" s="394" t="s">
        <v>216</v>
      </c>
      <c r="B9" s="395">
        <f>+'Earned Incurred QTD-p5'!C48</f>
        <v>31453.229999999996</v>
      </c>
      <c r="C9" s="395">
        <v>0</v>
      </c>
      <c r="D9" s="395">
        <v>0</v>
      </c>
      <c r="E9" s="395">
        <v>0</v>
      </c>
      <c r="F9" s="395">
        <v>0</v>
      </c>
      <c r="G9" s="395">
        <f>SUM(B9:F9)</f>
        <v>31453.229999999996</v>
      </c>
    </row>
    <row r="10" spans="1:7" s="396" customFormat="1" ht="15" customHeight="1" thickBot="1">
      <c r="A10" s="396" t="s">
        <v>217</v>
      </c>
      <c r="B10" s="397">
        <f aca="true" t="shared" si="0" ref="B10:G10">SUM(B8:B9)</f>
        <v>5602358.23</v>
      </c>
      <c r="C10" s="397">
        <f t="shared" si="0"/>
        <v>-29535</v>
      </c>
      <c r="D10" s="397">
        <f t="shared" si="0"/>
        <v>-675</v>
      </c>
      <c r="E10" s="397">
        <f t="shared" si="0"/>
        <v>-442</v>
      </c>
      <c r="F10" s="397">
        <f t="shared" si="0"/>
        <v>0</v>
      </c>
      <c r="G10" s="408">
        <f t="shared" si="0"/>
        <v>5571706.23</v>
      </c>
    </row>
    <row r="11" spans="2:7" s="396" customFormat="1" ht="15" customHeight="1" thickTop="1">
      <c r="B11" s="395"/>
      <c r="C11" s="395"/>
      <c r="D11" s="395"/>
      <c r="E11" s="395"/>
      <c r="F11" s="395"/>
      <c r="G11" s="395"/>
    </row>
    <row r="12" spans="1:7" s="396" customFormat="1" ht="15" customHeight="1">
      <c r="A12" s="390" t="s">
        <v>218</v>
      </c>
      <c r="B12" s="398"/>
      <c r="C12" s="398"/>
      <c r="D12" s="398"/>
      <c r="E12" s="398"/>
      <c r="F12" s="398"/>
      <c r="G12" s="395"/>
    </row>
    <row r="13" spans="1:7" s="396" customFormat="1" ht="15" customHeight="1">
      <c r="A13" s="396" t="s">
        <v>219</v>
      </c>
      <c r="B13" s="395">
        <f>+'Losses Incurred QTD-p9'!B12</f>
        <v>530321.17</v>
      </c>
      <c r="C13" s="395">
        <f>+'Losses Incurred QTD-p9'!C12</f>
        <v>2007231.0899999999</v>
      </c>
      <c r="D13" s="395">
        <f>+'Losses Incurred QTD-p9'!D12</f>
        <v>3395</v>
      </c>
      <c r="E13" s="395">
        <f>+'Losses Incurred QTD-p9'!E12</f>
        <v>1000</v>
      </c>
      <c r="F13" s="395">
        <f>+'Losses Incurred QTD-p9'!F12</f>
        <v>-69412.1</v>
      </c>
      <c r="G13" s="395">
        <f>SUM(B13:F13)</f>
        <v>2472535.1599999997</v>
      </c>
    </row>
    <row r="14" spans="1:7" s="396" customFormat="1" ht="15" customHeight="1">
      <c r="A14" s="396" t="s">
        <v>220</v>
      </c>
      <c r="B14" s="395">
        <f>'[5]Loss Expenses Paid QTD-16'!C37</f>
        <v>62941.21000000001</v>
      </c>
      <c r="C14" s="395">
        <f>'[5]Loss Expenses Paid QTD-16'!C31</f>
        <v>150828.13</v>
      </c>
      <c r="D14" s="395">
        <f>'[5]Loss Expenses Paid QTD-16'!C25</f>
        <v>10133.5</v>
      </c>
      <c r="E14" s="395">
        <f>'[5]Loss Expenses Paid QTD-16'!C19</f>
        <v>1590.95</v>
      </c>
      <c r="F14" s="395">
        <f>'[5]Loss Expenses Paid QTD-16'!C13+1</f>
        <v>4589.69</v>
      </c>
      <c r="G14" s="395">
        <f aca="true" t="shared" si="1" ref="G14:G21">SUM(B14:F14)</f>
        <v>230083.48000000004</v>
      </c>
    </row>
    <row r="15" spans="1:8" s="396" customFormat="1" ht="15" customHeight="1">
      <c r="A15" s="396" t="s">
        <v>221</v>
      </c>
      <c r="B15" s="395">
        <f>'[5]Loss Expenses Paid QTD-16'!I37</f>
        <v>23166.74</v>
      </c>
      <c r="C15" s="395">
        <f>'[5]Loss Expenses Paid QTD-16'!I31</f>
        <v>87762.94</v>
      </c>
      <c r="D15" s="395">
        <f>'[5]Loss Expenses Paid QTD-16'!I25</f>
        <v>148.31</v>
      </c>
      <c r="E15" s="395">
        <f>'[5]Loss Expenses Paid QTD-16'!I19</f>
        <v>43.68</v>
      </c>
      <c r="F15" s="395">
        <f>'[5]Loss Expenses Paid QTD-16'!I13</f>
        <v>65.53</v>
      </c>
      <c r="G15" s="395">
        <f t="shared" si="1"/>
        <v>111187.2</v>
      </c>
      <c r="H15" s="411"/>
    </row>
    <row r="16" spans="1:7" s="396" customFormat="1" ht="15" customHeight="1">
      <c r="A16" s="396" t="s">
        <v>222</v>
      </c>
      <c r="B16" s="395">
        <f>'[6]3Q03 TRIAL BALANCE'!D370</f>
        <v>0</v>
      </c>
      <c r="C16" s="395">
        <v>0</v>
      </c>
      <c r="D16" s="395">
        <v>0</v>
      </c>
      <c r="E16" s="395">
        <v>0</v>
      </c>
      <c r="F16" s="84">
        <v>0</v>
      </c>
      <c r="G16" s="395">
        <f t="shared" si="1"/>
        <v>0</v>
      </c>
    </row>
    <row r="17" spans="1:7" s="396" customFormat="1" ht="15" customHeight="1">
      <c r="A17" s="399" t="s">
        <v>223</v>
      </c>
      <c r="B17" s="395">
        <f>'[6]3Q03 TRIAL BALANCE'!D380</f>
        <v>84597.94</v>
      </c>
      <c r="C17" s="395">
        <v>0</v>
      </c>
      <c r="D17" s="395">
        <v>0</v>
      </c>
      <c r="E17" s="395">
        <v>0</v>
      </c>
      <c r="F17" s="395">
        <v>0</v>
      </c>
      <c r="G17" s="395">
        <f t="shared" si="1"/>
        <v>84597.94</v>
      </c>
    </row>
    <row r="18" spans="1:8" s="396" customFormat="1" ht="15" customHeight="1">
      <c r="A18" s="399" t="s">
        <v>224</v>
      </c>
      <c r="B18" s="395">
        <f>'[6]3Q03 TRIAL BALANCE'!C352+'[6]3Q03 TRIAL BALANCE'!C356+'[6]3Q03 TRIAL BALANCE'!C358+'[6]3Q03 TRIAL BALANCE'!C361+'[6]3Q03 TRIAL BALANCE'!C363+'[6]3Q03 TRIAL BALANCE'!C365</f>
        <v>505700.60000000003</v>
      </c>
      <c r="C18" s="395">
        <f>'[6]3Q03 TRIAL BALANCE'!C351+'[6]3Q03 TRIAL BALANCE'!C355+'[6]3Q03 TRIAL BALANCE'!C357+'[6]3Q03 TRIAL BALANCE'!C360+'[6]3Q03 TRIAL BALANCE'!C362+'[6]3Q03 TRIAL BALANCE'!C364</f>
        <v>-2695.1</v>
      </c>
      <c r="D18" s="395">
        <f>'[6]3Q03 TRIAL BALANCE'!C350+'[6]3Q03 TRIAL BALANCE'!C354</f>
        <v>-67.5</v>
      </c>
      <c r="E18" s="395">
        <f>'[6]3Q03 TRIAL BALANCE'!C349+'[6]3Q03 TRIAL BALANCE'!C353</f>
        <v>-44.2</v>
      </c>
      <c r="F18" s="395">
        <f>+'[1]TB06-30-03(Final)'!E523</f>
        <v>0</v>
      </c>
      <c r="G18" s="395">
        <f t="shared" si="1"/>
        <v>502893.80000000005</v>
      </c>
      <c r="H18" s="411"/>
    </row>
    <row r="19" spans="1:8" s="396" customFormat="1" ht="15" customHeight="1">
      <c r="A19" s="396" t="s">
        <v>225</v>
      </c>
      <c r="B19" s="395">
        <f>'[6]3Q03 TRIAL BALANCE'!D372</f>
        <v>3506.25</v>
      </c>
      <c r="C19" s="395">
        <v>0</v>
      </c>
      <c r="D19" s="395">
        <v>0</v>
      </c>
      <c r="E19" s="395">
        <v>0</v>
      </c>
      <c r="F19" s="84">
        <v>0</v>
      </c>
      <c r="G19" s="395">
        <f t="shared" si="1"/>
        <v>3506.25</v>
      </c>
      <c r="H19" s="411"/>
    </row>
    <row r="20" spans="1:7" s="396" customFormat="1" ht="15" customHeight="1">
      <c r="A20" s="396" t="s">
        <v>226</v>
      </c>
      <c r="B20" s="395">
        <f>'Earned Incurred QTD-p5'!C39</f>
        <v>994477.8400000003</v>
      </c>
      <c r="C20" s="395">
        <v>0</v>
      </c>
      <c r="D20" s="395">
        <v>0</v>
      </c>
      <c r="E20" s="395">
        <v>0</v>
      </c>
      <c r="F20" s="84">
        <v>0</v>
      </c>
      <c r="G20" s="395">
        <f t="shared" si="1"/>
        <v>994477.8400000003</v>
      </c>
    </row>
    <row r="21" spans="1:7" s="396" customFormat="1" ht="15" customHeight="1">
      <c r="A21" s="396" t="s">
        <v>146</v>
      </c>
      <c r="B21" s="395">
        <v>0</v>
      </c>
      <c r="C21" s="395">
        <v>0</v>
      </c>
      <c r="D21" s="395">
        <v>0</v>
      </c>
      <c r="E21" s="400">
        <v>0</v>
      </c>
      <c r="F21" s="84">
        <v>0</v>
      </c>
      <c r="G21" s="395">
        <f t="shared" si="1"/>
        <v>0</v>
      </c>
    </row>
    <row r="22" spans="1:7" s="396" customFormat="1" ht="15" customHeight="1" thickBot="1">
      <c r="A22" s="396" t="s">
        <v>217</v>
      </c>
      <c r="B22" s="397">
        <f aca="true" t="shared" si="2" ref="B22:G22">SUM(B13:B21)</f>
        <v>2204711.7500000005</v>
      </c>
      <c r="C22" s="397">
        <f t="shared" si="2"/>
        <v>2243127.0599999996</v>
      </c>
      <c r="D22" s="397">
        <f t="shared" si="2"/>
        <v>13609.31</v>
      </c>
      <c r="E22" s="397">
        <f>SUM(E13:E21)+1</f>
        <v>2591.43</v>
      </c>
      <c r="F22" s="397">
        <f>SUM(F13:F21)+1</f>
        <v>-64755.880000000005</v>
      </c>
      <c r="G22" s="408">
        <f t="shared" si="2"/>
        <v>4399281.67</v>
      </c>
    </row>
    <row r="23" spans="2:7" s="396" customFormat="1" ht="15" customHeight="1" thickTop="1">
      <c r="B23" s="395"/>
      <c r="C23" s="395"/>
      <c r="D23" s="395"/>
      <c r="E23" s="395"/>
      <c r="F23" s="395"/>
      <c r="G23" s="395"/>
    </row>
    <row r="24" spans="1:7" s="396" customFormat="1" ht="15" customHeight="1" thickBot="1">
      <c r="A24" s="401" t="s">
        <v>227</v>
      </c>
      <c r="B24" s="402">
        <f>B10-B22</f>
        <v>3397646.48</v>
      </c>
      <c r="C24" s="402">
        <f>C10-C22</f>
        <v>-2272662.0599999996</v>
      </c>
      <c r="D24" s="402">
        <f>D10-D22</f>
        <v>-14284.31</v>
      </c>
      <c r="E24" s="402">
        <f>E10-E22</f>
        <v>-3033.43</v>
      </c>
      <c r="F24" s="402">
        <f>F10-F22</f>
        <v>64755.880000000005</v>
      </c>
      <c r="G24" s="408">
        <f>SUM(B24:F24)</f>
        <v>1172422.5600000005</v>
      </c>
    </row>
    <row r="25" spans="2:7" s="396" customFormat="1" ht="15" customHeight="1" thickTop="1">
      <c r="B25" s="395"/>
      <c r="C25" s="395"/>
      <c r="D25" s="395"/>
      <c r="E25" s="395"/>
      <c r="F25" s="395"/>
      <c r="G25" s="395"/>
    </row>
    <row r="26" spans="1:7" s="396" customFormat="1" ht="15" customHeight="1">
      <c r="A26" s="390" t="s">
        <v>228</v>
      </c>
      <c r="B26" s="398"/>
      <c r="C26" s="398"/>
      <c r="D26" s="398"/>
      <c r="E26" s="398"/>
      <c r="F26" s="398"/>
      <c r="G26" s="395"/>
    </row>
    <row r="27" spans="1:7" s="396" customFormat="1" ht="15" customHeight="1">
      <c r="A27" s="396" t="s">
        <v>229</v>
      </c>
      <c r="B27" s="395">
        <f>'Earned Incurred QTD-p5'!B50</f>
        <v>11315.82</v>
      </c>
      <c r="C27" s="395">
        <v>0</v>
      </c>
      <c r="D27" s="395">
        <v>0</v>
      </c>
      <c r="E27" s="395">
        <v>0</v>
      </c>
      <c r="F27" s="395">
        <v>0</v>
      </c>
      <c r="G27" s="395">
        <f>SUM(B27:F27)</f>
        <v>11315.82</v>
      </c>
    </row>
    <row r="28" spans="1:7" s="396" customFormat="1" ht="15" customHeight="1">
      <c r="A28" s="396" t="s">
        <v>230</v>
      </c>
      <c r="B28" s="395">
        <f>'Balance Sheet-p1'!D17</f>
        <v>249936.05000000005</v>
      </c>
      <c r="C28" s="395">
        <v>0</v>
      </c>
      <c r="D28" s="395">
        <v>0</v>
      </c>
      <c r="E28" s="395">
        <v>0</v>
      </c>
      <c r="F28" s="395">
        <v>0</v>
      </c>
      <c r="G28" s="395">
        <f>SUM(B28:F28)</f>
        <v>249936.05000000005</v>
      </c>
    </row>
    <row r="29" spans="1:7" s="396" customFormat="1" ht="15" customHeight="1" thickBot="1">
      <c r="A29" s="396" t="s">
        <v>217</v>
      </c>
      <c r="B29" s="397">
        <f aca="true" t="shared" si="3" ref="B29:G29">SUM(B27:B28)</f>
        <v>261251.87000000005</v>
      </c>
      <c r="C29" s="397">
        <f t="shared" si="3"/>
        <v>0</v>
      </c>
      <c r="D29" s="397">
        <f t="shared" si="3"/>
        <v>0</v>
      </c>
      <c r="E29" s="397">
        <f t="shared" si="3"/>
        <v>0</v>
      </c>
      <c r="F29" s="397">
        <f t="shared" si="3"/>
        <v>0</v>
      </c>
      <c r="G29" s="408">
        <f t="shared" si="3"/>
        <v>261251.87000000005</v>
      </c>
    </row>
    <row r="30" spans="2:7" s="396" customFormat="1" ht="15" customHeight="1" thickTop="1">
      <c r="B30" s="395"/>
      <c r="C30" s="395"/>
      <c r="D30" s="395"/>
      <c r="E30" s="395"/>
      <c r="F30" s="395"/>
      <c r="G30" s="395"/>
    </row>
    <row r="31" spans="1:7" s="396" customFormat="1" ht="15" customHeight="1">
      <c r="A31" s="390" t="s">
        <v>231</v>
      </c>
      <c r="B31" s="398"/>
      <c r="C31" s="398"/>
      <c r="D31" s="398"/>
      <c r="E31" s="398"/>
      <c r="F31" s="398"/>
      <c r="G31" s="395"/>
    </row>
    <row r="32" spans="1:8" s="396" customFormat="1" ht="15" customHeight="1">
      <c r="A32" s="396" t="s">
        <v>232</v>
      </c>
      <c r="B32" s="395">
        <f>'Earned Incurred QTD-p5'!B49</f>
        <v>6721.74</v>
      </c>
      <c r="C32" s="395">
        <v>0</v>
      </c>
      <c r="D32" s="395">
        <v>0</v>
      </c>
      <c r="E32" s="395">
        <v>0</v>
      </c>
      <c r="F32" s="395">
        <v>0</v>
      </c>
      <c r="G32" s="395">
        <f>SUM(B32:F32)</f>
        <v>6721.74</v>
      </c>
      <c r="H32" s="411"/>
    </row>
    <row r="33" spans="1:8" s="396" customFormat="1" ht="15" customHeight="1">
      <c r="A33" s="396" t="s">
        <v>233</v>
      </c>
      <c r="B33" s="395">
        <f>'[7]Balance Sheet-p1'!$D$17</f>
        <v>264960.98</v>
      </c>
      <c r="C33" s="395">
        <v>0</v>
      </c>
      <c r="D33" s="395">
        <v>0</v>
      </c>
      <c r="E33" s="395">
        <v>0</v>
      </c>
      <c r="F33" s="395">
        <v>0</v>
      </c>
      <c r="G33" s="395">
        <f>SUM(B33:F33)</f>
        <v>264960.98</v>
      </c>
      <c r="H33" s="411"/>
    </row>
    <row r="34" spans="1:8" s="396" customFormat="1" ht="15" customHeight="1" thickBot="1">
      <c r="A34" s="396" t="s">
        <v>217</v>
      </c>
      <c r="B34" s="397">
        <f aca="true" t="shared" si="4" ref="B34:G34">SUM(B32:B33)</f>
        <v>271682.72</v>
      </c>
      <c r="C34" s="397">
        <f t="shared" si="4"/>
        <v>0</v>
      </c>
      <c r="D34" s="397">
        <f t="shared" si="4"/>
        <v>0</v>
      </c>
      <c r="E34" s="397">
        <f t="shared" si="4"/>
        <v>0</v>
      </c>
      <c r="F34" s="397">
        <f t="shared" si="4"/>
        <v>0</v>
      </c>
      <c r="G34" s="408">
        <f t="shared" si="4"/>
        <v>271682.72</v>
      </c>
      <c r="H34" s="411"/>
    </row>
    <row r="35" spans="2:8" s="396" customFormat="1" ht="15" customHeight="1" thickTop="1">
      <c r="B35" s="395"/>
      <c r="C35" s="395"/>
      <c r="D35" s="395"/>
      <c r="E35" s="395"/>
      <c r="F35" s="395"/>
      <c r="G35" s="403"/>
      <c r="H35" s="411"/>
    </row>
    <row r="36" spans="1:7" s="396" customFormat="1" ht="19.5" customHeight="1" thickBot="1">
      <c r="A36" s="410" t="s">
        <v>234</v>
      </c>
      <c r="B36" s="402">
        <f>B24-B29+B34</f>
        <v>3408077.33</v>
      </c>
      <c r="C36" s="402">
        <f>C24-C29+C34</f>
        <v>-2272662.0599999996</v>
      </c>
      <c r="D36" s="402">
        <f>D24-D29+D34</f>
        <v>-14284.31</v>
      </c>
      <c r="E36" s="402">
        <f>E24-E29+E34</f>
        <v>-3033.43</v>
      </c>
      <c r="F36" s="402">
        <f>F24-F29+F34</f>
        <v>64755.880000000005</v>
      </c>
      <c r="G36" s="408">
        <f>SUM(B36:F36)</f>
        <v>1182853.4100000006</v>
      </c>
    </row>
    <row r="37" spans="2:7" s="396" customFormat="1" ht="15" customHeight="1" thickTop="1">
      <c r="B37" s="395"/>
      <c r="C37" s="395"/>
      <c r="D37" s="395"/>
      <c r="E37" s="395"/>
      <c r="F37" s="395"/>
      <c r="G37" s="395"/>
    </row>
    <row r="38" spans="1:7" s="396" customFormat="1" ht="15" customHeight="1">
      <c r="A38" s="404" t="s">
        <v>148</v>
      </c>
      <c r="B38" s="395"/>
      <c r="C38" s="395"/>
      <c r="D38" s="395"/>
      <c r="E38" s="395"/>
      <c r="F38" s="395"/>
      <c r="G38" s="395"/>
    </row>
    <row r="39" spans="1:7" s="396" customFormat="1" ht="15" customHeight="1">
      <c r="A39" s="396" t="s">
        <v>190</v>
      </c>
      <c r="B39" s="395">
        <f>'Equity YTD-p4'!B39</f>
        <v>10049767</v>
      </c>
      <c r="C39" s="395">
        <f>'Equity YTD-p4'!C39</f>
        <v>557124</v>
      </c>
      <c r="D39" s="395">
        <f>'Equity YTD-p4'!D39</f>
        <v>0</v>
      </c>
      <c r="E39" s="395">
        <f>'Equity YTD-p4'!E39</f>
        <v>0</v>
      </c>
      <c r="F39" s="395">
        <f>'Equity YTD-p4'!F39</f>
        <v>0</v>
      </c>
      <c r="G39" s="395">
        <f>SUM(B39:F39)</f>
        <v>10606891</v>
      </c>
    </row>
    <row r="40" spans="1:7" s="396" customFormat="1" ht="15" customHeight="1">
      <c r="A40" s="396" t="s">
        <v>235</v>
      </c>
      <c r="B40" s="395">
        <f>'Equity YTD-p4'!B40</f>
        <v>3022801.95</v>
      </c>
      <c r="C40" s="395">
        <f>'Equity YTD-p4'!C40</f>
        <v>2954984.33</v>
      </c>
      <c r="D40" s="395">
        <f>'Equity YTD-p4'!D40</f>
        <v>138044</v>
      </c>
      <c r="E40" s="395">
        <f>'Equity YTD-p4'!E40</f>
        <v>90525</v>
      </c>
      <c r="F40" s="395">
        <f>'Equity YTD-p4'!F40</f>
        <v>27659</v>
      </c>
      <c r="G40" s="395">
        <f>SUM(B40:F40)</f>
        <v>6234014.28</v>
      </c>
    </row>
    <row r="41" spans="1:7" s="396" customFormat="1" ht="15" customHeight="1">
      <c r="A41" s="396" t="s">
        <v>236</v>
      </c>
      <c r="B41" s="395">
        <f>'Equity YTD-p4'!B41</f>
        <v>204855.69</v>
      </c>
      <c r="C41" s="395">
        <f>'Equity YTD-p4'!C41</f>
        <v>291363.99999999994</v>
      </c>
      <c r="D41" s="395">
        <f>'Equity YTD-p4'!D41</f>
        <v>15358.119999999999</v>
      </c>
      <c r="E41" s="395">
        <f>'Equity YTD-p4'!E41</f>
        <v>10070.58</v>
      </c>
      <c r="F41" s="395">
        <f>'Equity YTD-p4'!F41</f>
        <v>3075.8600000000006</v>
      </c>
      <c r="G41" s="395">
        <f>SUM(B41:F41)</f>
        <v>524724.25</v>
      </c>
    </row>
    <row r="42" spans="1:7" s="396" customFormat="1" ht="15" customHeight="1">
      <c r="A42" s="396" t="s">
        <v>237</v>
      </c>
      <c r="B42" s="395">
        <f>'Equity YTD-p4'!B42</f>
        <v>305437.57999999996</v>
      </c>
      <c r="C42" s="395">
        <f>'Equity YTD-p4'!C42</f>
        <v>0</v>
      </c>
      <c r="D42" s="395">
        <f>'Equity YTD-p4'!D42</f>
        <v>0</v>
      </c>
      <c r="E42" s="395">
        <f>'Equity YTD-p4'!E42</f>
        <v>0</v>
      </c>
      <c r="F42" s="84">
        <f>'Equity YTD-p4'!F42</f>
        <v>0</v>
      </c>
      <c r="G42" s="395">
        <f>SUM(B42:F42)</f>
        <v>305437.57999999996</v>
      </c>
    </row>
    <row r="43" spans="1:7" s="396" customFormat="1" ht="15" customHeight="1">
      <c r="A43" s="396" t="s">
        <v>238</v>
      </c>
      <c r="B43" s="395">
        <f>'Equity YTD-p4'!B43</f>
        <v>42827.65</v>
      </c>
      <c r="C43" s="395">
        <f>'Equity YTD-p4'!C43</f>
        <v>0</v>
      </c>
      <c r="D43" s="395">
        <f>'Equity YTD-p4'!D43</f>
        <v>0</v>
      </c>
      <c r="E43" s="395">
        <f>'Equity YTD-p4'!E43</f>
        <v>0</v>
      </c>
      <c r="F43" s="84">
        <f>'Equity YTD-p4'!F43</f>
        <v>0</v>
      </c>
      <c r="G43" s="395">
        <f>SUM(B43:F43)</f>
        <v>42827.65</v>
      </c>
    </row>
    <row r="44" spans="1:7" s="396" customFormat="1" ht="15" customHeight="1" thickBot="1">
      <c r="A44" s="393" t="s">
        <v>217</v>
      </c>
      <c r="B44" s="397">
        <f>SUM(B39:B43)+1</f>
        <v>13625690.87</v>
      </c>
      <c r="C44" s="397">
        <f>SUM(C39:C43)</f>
        <v>3803472.33</v>
      </c>
      <c r="D44" s="397">
        <f>SUM(D39:D43)</f>
        <v>153402.12</v>
      </c>
      <c r="E44" s="397">
        <f>SUM(E39:E43)</f>
        <v>100595.58</v>
      </c>
      <c r="F44" s="397">
        <f>SUM(F39:F43)</f>
        <v>30734.86</v>
      </c>
      <c r="G44" s="408">
        <f>SUM(G39:G43)</f>
        <v>17713894.759999998</v>
      </c>
    </row>
    <row r="45" spans="2:7" s="396" customFormat="1" ht="15" customHeight="1" thickTop="1">
      <c r="B45" s="395"/>
      <c r="C45" s="395"/>
      <c r="D45" s="395"/>
      <c r="E45" s="395"/>
      <c r="F45" s="395"/>
      <c r="G45" s="395"/>
    </row>
    <row r="46" spans="1:7" s="396" customFormat="1" ht="15" customHeight="1">
      <c r="A46" s="404" t="s">
        <v>149</v>
      </c>
      <c r="B46" s="405"/>
      <c r="C46" s="405"/>
      <c r="D46" s="405"/>
      <c r="E46" s="405"/>
      <c r="F46" s="395"/>
      <c r="G46" s="395"/>
    </row>
    <row r="47" spans="1:7" s="396" customFormat="1" ht="15" customHeight="1">
      <c r="A47" s="396" t="s">
        <v>190</v>
      </c>
      <c r="B47" s="395">
        <f>+'Premiums QTD-p7'!B23</f>
        <v>7791058</v>
      </c>
      <c r="C47" s="395">
        <f>+'Premiums QTD-p7'!C23</f>
        <v>2252629</v>
      </c>
      <c r="D47" s="395">
        <f>+'Premiums QTD-p7'!D23</f>
        <v>0</v>
      </c>
      <c r="E47" s="395">
        <f>+'Premiums QTD-p7'!E23</f>
        <v>0</v>
      </c>
      <c r="F47" s="395">
        <f>+'Premiums QTD-p7'!F23</f>
        <v>0</v>
      </c>
      <c r="G47" s="395">
        <f>SUM(B47:F47)</f>
        <v>10043687</v>
      </c>
    </row>
    <row r="48" spans="1:7" s="396" customFormat="1" ht="15" customHeight="1">
      <c r="A48" s="396" t="s">
        <v>235</v>
      </c>
      <c r="B48" s="395">
        <f>+'Losses Incurred QTD-p9'!B24</f>
        <v>1695418.7674987593</v>
      </c>
      <c r="C48" s="395">
        <f>+'Losses Incurred QTD-p9'!C24</f>
        <v>3706022.7775012404</v>
      </c>
      <c r="D48" s="395">
        <f>+'Losses Incurred QTD-p9'!D24</f>
        <v>125552.82</v>
      </c>
      <c r="E48" s="395">
        <f>+'Losses Incurred QTD-p9'!E24</f>
        <v>82029</v>
      </c>
      <c r="F48" s="395">
        <f>+'Losses Incurred QTD-p9'!F24</f>
        <v>88697.85</v>
      </c>
      <c r="G48" s="395">
        <f>SUM(B48:F48)+1</f>
        <v>5697722.215</v>
      </c>
    </row>
    <row r="49" spans="1:7" s="396" customFormat="1" ht="15" customHeight="1">
      <c r="A49" s="396" t="s">
        <v>239</v>
      </c>
      <c r="B49" s="395">
        <f>+'Loss Expenses QTD-p11'!B24</f>
        <v>103545.56</v>
      </c>
      <c r="C49" s="395">
        <f>+'Loss Expenses QTD-p11'!C24</f>
        <v>337570.83</v>
      </c>
      <c r="D49" s="395">
        <f>+'Loss Expenses QTD-p11'!D24</f>
        <v>13961.59</v>
      </c>
      <c r="E49" s="395">
        <f>+'Loss Expenses QTD-p11'!E24</f>
        <v>9121.61</v>
      </c>
      <c r="F49" s="395">
        <f>+'Loss Expenses QTD-p11'!F24</f>
        <v>9863.2</v>
      </c>
      <c r="G49" s="395">
        <f>SUM(B49:F49)+1</f>
        <v>474063.79000000004</v>
      </c>
    </row>
    <row r="50" spans="1:7" s="396" customFormat="1" ht="15" customHeight="1">
      <c r="A50" s="396" t="s">
        <v>237</v>
      </c>
      <c r="B50" s="395">
        <f>+'Earned Incurred QTD-p5'!B42</f>
        <v>309880.65</v>
      </c>
      <c r="C50" s="395">
        <v>0</v>
      </c>
      <c r="D50" s="395">
        <v>0</v>
      </c>
      <c r="E50" s="395">
        <v>0</v>
      </c>
      <c r="F50" s="395">
        <v>0</v>
      </c>
      <c r="G50" s="395">
        <f>SUM(B50:F50)</f>
        <v>309880.65</v>
      </c>
    </row>
    <row r="51" spans="1:7" s="396" customFormat="1" ht="15" customHeight="1">
      <c r="A51" s="396" t="s">
        <v>238</v>
      </c>
      <c r="B51" s="395">
        <f>+'Earned Incurred QTD-p5'!B34</f>
        <v>22966</v>
      </c>
      <c r="C51" s="395">
        <v>0</v>
      </c>
      <c r="D51" s="395">
        <v>0</v>
      </c>
      <c r="E51" s="395">
        <v>0</v>
      </c>
      <c r="F51" s="395">
        <v>0</v>
      </c>
      <c r="G51" s="395">
        <f>SUM(B51:F51)</f>
        <v>22966</v>
      </c>
    </row>
    <row r="52" spans="1:7" s="396" customFormat="1" ht="15" customHeight="1" thickBot="1">
      <c r="A52" s="396" t="s">
        <v>217</v>
      </c>
      <c r="B52" s="397">
        <f>SUM(B47:B51)+1</f>
        <v>9922869.97749876</v>
      </c>
      <c r="C52" s="397">
        <f>SUM(C47:C51)</f>
        <v>6296222.60750124</v>
      </c>
      <c r="D52" s="397">
        <f>SUM(D47:D51)+1</f>
        <v>139515.41</v>
      </c>
      <c r="E52" s="397">
        <f>SUM(E47:E51)</f>
        <v>91150.61</v>
      </c>
      <c r="F52" s="397">
        <f>SUM(F47:F51)</f>
        <v>98561.05</v>
      </c>
      <c r="G52" s="408">
        <f>SUM(B52:F52)</f>
        <v>16548319.655000001</v>
      </c>
    </row>
    <row r="53" spans="2:8" s="396" customFormat="1" ht="15" customHeight="1" thickTop="1">
      <c r="B53" s="406"/>
      <c r="C53" s="406"/>
      <c r="D53" s="406"/>
      <c r="E53" s="406"/>
      <c r="F53" s="84"/>
      <c r="H53" s="84"/>
    </row>
    <row r="54" spans="1:8" s="396" customFormat="1" ht="15" customHeight="1" thickBot="1">
      <c r="A54" s="401" t="s">
        <v>240</v>
      </c>
      <c r="B54" s="439">
        <f>B36-B44+B52</f>
        <v>-294743.56250123866</v>
      </c>
      <c r="C54" s="439">
        <f>C36-C44+C52+1</f>
        <v>220089.21750124078</v>
      </c>
      <c r="D54" s="439">
        <f>D36-D44+D52</f>
        <v>-28171.01999999999</v>
      </c>
      <c r="E54" s="439">
        <f>E36-E44+E52</f>
        <v>-12478.399999999994</v>
      </c>
      <c r="F54" s="439">
        <f>F36-F44+F52+3</f>
        <v>132585.07</v>
      </c>
      <c r="G54" s="439">
        <f>SUM(B54:F54)</f>
        <v>17281.305000002147</v>
      </c>
      <c r="H54" s="411"/>
    </row>
    <row r="55" spans="2:7" s="396" customFormat="1" ht="15" customHeight="1" thickTop="1">
      <c r="B55" s="411"/>
      <c r="C55" s="406"/>
      <c r="D55" s="406"/>
      <c r="E55" s="406"/>
      <c r="F55" s="84"/>
      <c r="G55" s="84"/>
    </row>
    <row r="56" spans="2:7" s="396" customFormat="1" ht="15" customHeight="1">
      <c r="B56" s="411"/>
      <c r="C56" s="406"/>
      <c r="D56" s="406"/>
      <c r="E56" s="406"/>
      <c r="F56" s="84"/>
      <c r="G56" s="84"/>
    </row>
    <row r="57" spans="2:7" s="396" customFormat="1" ht="15" customHeight="1">
      <c r="B57" s="411"/>
      <c r="C57" s="406"/>
      <c r="D57" s="406"/>
      <c r="E57" s="406"/>
      <c r="F57" s="84"/>
      <c r="G57" s="84"/>
    </row>
    <row r="58" spans="2:7" s="396" customFormat="1" ht="15" customHeight="1">
      <c r="B58" s="411"/>
      <c r="C58" s="406"/>
      <c r="D58" s="406"/>
      <c r="E58" s="406"/>
      <c r="F58" s="84"/>
      <c r="G58" s="84"/>
    </row>
    <row r="59" spans="2:7" s="396" customFormat="1" ht="15" customHeight="1">
      <c r="B59" s="411"/>
      <c r="C59" s="406"/>
      <c r="D59" s="406"/>
      <c r="E59" s="406"/>
      <c r="F59" s="84"/>
      <c r="G59" s="84"/>
    </row>
    <row r="60" spans="2:7" s="396" customFormat="1" ht="15" customHeight="1">
      <c r="B60" s="411"/>
      <c r="C60" s="406"/>
      <c r="D60" s="406"/>
      <c r="E60" s="406"/>
      <c r="F60" s="84"/>
      <c r="G60" s="84"/>
    </row>
    <row r="61" spans="2:7" s="396" customFormat="1" ht="15" customHeight="1">
      <c r="B61" s="411"/>
      <c r="C61" s="406"/>
      <c r="D61" s="406"/>
      <c r="E61" s="406"/>
      <c r="F61" s="84"/>
      <c r="G61" s="84"/>
    </row>
    <row r="62" spans="2:7" s="396" customFormat="1" ht="15" customHeight="1">
      <c r="B62" s="411"/>
      <c r="C62" s="406"/>
      <c r="D62" s="406"/>
      <c r="E62" s="406"/>
      <c r="F62" s="84"/>
      <c r="G62" s="84"/>
    </row>
    <row r="63" spans="2:7" s="396" customFormat="1" ht="15" customHeight="1">
      <c r="B63" s="411"/>
      <c r="C63" s="406"/>
      <c r="D63" s="406"/>
      <c r="E63" s="406"/>
      <c r="F63" s="84"/>
      <c r="G63" s="84"/>
    </row>
    <row r="64" spans="2:7" s="396" customFormat="1" ht="15" customHeight="1">
      <c r="B64" s="411"/>
      <c r="C64" s="406"/>
      <c r="D64" s="406"/>
      <c r="E64" s="406"/>
      <c r="F64" s="84"/>
      <c r="G64" s="84"/>
    </row>
    <row r="65" spans="2:7" s="396" customFormat="1" ht="15" customHeight="1">
      <c r="B65" s="411"/>
      <c r="C65" s="406"/>
      <c r="D65" s="406"/>
      <c r="E65" s="406"/>
      <c r="F65" s="84"/>
      <c r="G65" s="84"/>
    </row>
    <row r="66" spans="2:7" s="396" customFormat="1" ht="15" customHeight="1">
      <c r="B66" s="411"/>
      <c r="C66" s="406"/>
      <c r="D66" s="406"/>
      <c r="E66" s="406"/>
      <c r="F66" s="84"/>
      <c r="G66" s="84"/>
    </row>
    <row r="67" spans="2:7" s="396" customFormat="1" ht="15" customHeight="1">
      <c r="B67" s="411"/>
      <c r="C67" s="406"/>
      <c r="D67" s="406"/>
      <c r="E67" s="406"/>
      <c r="F67" s="84"/>
      <c r="G67" s="84"/>
    </row>
  </sheetData>
  <mergeCells count="4">
    <mergeCell ref="A1:G1"/>
    <mergeCell ref="A2:G2"/>
    <mergeCell ref="A3:G3"/>
    <mergeCell ref="A4:G4"/>
  </mergeCells>
  <printOptions horizontalCentered="1"/>
  <pageMargins left="0.25" right="0.25" top="0.75" bottom="0.5" header="0.5" footer="0"/>
  <pageSetup horizontalDpi="300" verticalDpi="300" orientation="portrait" scale="75" r:id="rId1"/>
  <headerFooter alignWithMargins="0">
    <oddFooter>&amp;CPage 3
</oddFooter>
  </headerFooter>
</worksheet>
</file>

<file path=xl/worksheets/sheet5.xml><?xml version="1.0" encoding="utf-8"?>
<worksheet xmlns="http://schemas.openxmlformats.org/spreadsheetml/2006/main" xmlns:r="http://schemas.openxmlformats.org/officeDocument/2006/relationships">
  <dimension ref="A1:H57"/>
  <sheetViews>
    <sheetView zoomScale="75" zoomScaleNormal="75" workbookViewId="0" topLeftCell="A30">
      <selection activeCell="H54" sqref="H54"/>
    </sheetView>
  </sheetViews>
  <sheetFormatPr defaultColWidth="9.140625" defaultRowHeight="12.75"/>
  <cols>
    <col min="1" max="1" width="41.57421875" style="29" customWidth="1"/>
    <col min="2" max="5" width="15.7109375" style="222" customWidth="1"/>
    <col min="6" max="7" width="15.7109375" style="224" customWidth="1"/>
    <col min="8" max="8" width="16.00390625" style="29" customWidth="1"/>
    <col min="9" max="16384" width="9.140625" style="29" customWidth="1"/>
  </cols>
  <sheetData>
    <row r="1" spans="1:7" s="94" customFormat="1" ht="25.5">
      <c r="A1" s="469" t="s">
        <v>177</v>
      </c>
      <c r="B1" s="469"/>
      <c r="C1" s="469"/>
      <c r="D1" s="469"/>
      <c r="E1" s="469"/>
      <c r="F1" s="469"/>
      <c r="G1" s="469"/>
    </row>
    <row r="2" spans="1:7" s="26" customFormat="1" ht="18.75">
      <c r="A2" s="461"/>
      <c r="B2" s="461"/>
      <c r="C2" s="461"/>
      <c r="D2" s="461"/>
      <c r="E2" s="461"/>
      <c r="F2" s="461"/>
      <c r="G2" s="461"/>
    </row>
    <row r="3" spans="1:7" s="388" customFormat="1" ht="15.75">
      <c r="A3" s="470" t="s">
        <v>212</v>
      </c>
      <c r="B3" s="470"/>
      <c r="C3" s="470"/>
      <c r="D3" s="470"/>
      <c r="E3" s="470"/>
      <c r="F3" s="470"/>
      <c r="G3" s="470"/>
    </row>
    <row r="4" spans="1:7" s="388" customFormat="1" ht="15.75">
      <c r="A4" s="470" t="s">
        <v>131</v>
      </c>
      <c r="B4" s="470"/>
      <c r="C4" s="470"/>
      <c r="D4" s="470"/>
      <c r="E4" s="470"/>
      <c r="F4" s="470"/>
      <c r="G4" s="470"/>
    </row>
    <row r="5" spans="1:7" s="28" customFormat="1" ht="18.75">
      <c r="A5" s="27"/>
      <c r="B5" s="221"/>
      <c r="C5" s="221"/>
      <c r="D5" s="221"/>
      <c r="E5" s="221"/>
      <c r="F5" s="201"/>
      <c r="G5" s="223"/>
    </row>
    <row r="6" spans="2:7" s="389" customFormat="1" ht="34.5" customHeight="1">
      <c r="B6" s="437" t="s">
        <v>30</v>
      </c>
      <c r="C6" s="437" t="s">
        <v>31</v>
      </c>
      <c r="D6" s="437" t="s">
        <v>151</v>
      </c>
      <c r="E6" s="437" t="s">
        <v>165</v>
      </c>
      <c r="F6" s="437" t="s">
        <v>143</v>
      </c>
      <c r="G6" s="437" t="s">
        <v>178</v>
      </c>
    </row>
    <row r="7" spans="1:7" s="393" customFormat="1" ht="15" customHeight="1">
      <c r="A7" s="390" t="s">
        <v>214</v>
      </c>
      <c r="B7" s="391"/>
      <c r="C7" s="391"/>
      <c r="D7" s="391"/>
      <c r="E7" s="391"/>
      <c r="F7" s="391"/>
      <c r="G7" s="392"/>
    </row>
    <row r="8" spans="1:7" s="396" customFormat="1" ht="15" customHeight="1">
      <c r="A8" s="394" t="s">
        <v>215</v>
      </c>
      <c r="B8" s="438">
        <f>'Premiums YTD-p8'!B11</f>
        <v>15874389</v>
      </c>
      <c r="C8" s="438">
        <f>'Premiums YTD-p8'!C11</f>
        <v>-107807</v>
      </c>
      <c r="D8" s="438">
        <f>'Premiums YTD-p8'!D11</f>
        <v>-4557</v>
      </c>
      <c r="E8" s="438">
        <f>'Premiums YTD-p8'!E11</f>
        <v>88</v>
      </c>
      <c r="F8" s="395">
        <f>'Premiums YTD-p8'!F11</f>
        <v>0</v>
      </c>
      <c r="G8" s="438">
        <f>SUM(B8:F8)</f>
        <v>15762113</v>
      </c>
    </row>
    <row r="9" spans="1:7" s="396" customFormat="1" ht="15" customHeight="1">
      <c r="A9" s="394" t="s">
        <v>216</v>
      </c>
      <c r="B9" s="395">
        <f>'Earned Incurred YTD-p6'!C48</f>
        <v>98757.88</v>
      </c>
      <c r="C9" s="395">
        <f>'Earned Incurred YTD-p6'!D48</f>
        <v>0</v>
      </c>
      <c r="D9" s="395">
        <v>0</v>
      </c>
      <c r="E9" s="395">
        <v>0</v>
      </c>
      <c r="F9" s="395">
        <v>0</v>
      </c>
      <c r="G9" s="395">
        <f>SUM(B9:F9)</f>
        <v>98757.88</v>
      </c>
    </row>
    <row r="10" spans="1:7" s="396" customFormat="1" ht="15" customHeight="1" thickBot="1">
      <c r="A10" s="396" t="s">
        <v>217</v>
      </c>
      <c r="B10" s="397">
        <f aca="true" t="shared" si="0" ref="B10:G10">SUM(B8:B9)</f>
        <v>15973146.88</v>
      </c>
      <c r="C10" s="397">
        <f t="shared" si="0"/>
        <v>-107807</v>
      </c>
      <c r="D10" s="397">
        <f t="shared" si="0"/>
        <v>-4557</v>
      </c>
      <c r="E10" s="397">
        <f t="shared" si="0"/>
        <v>88</v>
      </c>
      <c r="F10" s="397">
        <f t="shared" si="0"/>
        <v>0</v>
      </c>
      <c r="G10" s="408">
        <f t="shared" si="0"/>
        <v>15860870.88</v>
      </c>
    </row>
    <row r="11" spans="2:7" s="396" customFormat="1" ht="15" customHeight="1" thickTop="1">
      <c r="B11" s="395"/>
      <c r="C11" s="395"/>
      <c r="D11" s="395"/>
      <c r="E11" s="395"/>
      <c r="F11" s="395"/>
      <c r="G11" s="395"/>
    </row>
    <row r="12" spans="1:7" s="396" customFormat="1" ht="15" customHeight="1">
      <c r="A12" s="390" t="s">
        <v>218</v>
      </c>
      <c r="B12" s="398"/>
      <c r="C12" s="398"/>
      <c r="D12" s="398"/>
      <c r="E12" s="398"/>
      <c r="F12" s="398"/>
      <c r="G12" s="395"/>
    </row>
    <row r="13" spans="1:7" s="396" customFormat="1" ht="15" customHeight="1">
      <c r="A13" s="396" t="s">
        <v>219</v>
      </c>
      <c r="B13" s="395">
        <f>+'Losses Incurred YTD-p10'!B12</f>
        <v>801418.31</v>
      </c>
      <c r="C13" s="395">
        <f>+'Losses Incurred YTD-p10'!C12</f>
        <v>8137075.100000001</v>
      </c>
      <c r="D13" s="395">
        <f>+'Losses Incurred YTD-p10'!D12</f>
        <v>541096.78</v>
      </c>
      <c r="E13" s="395">
        <f>+'Losses Incurred YTD-p10'!E12</f>
        <v>60333.98</v>
      </c>
      <c r="F13" s="395">
        <f>'Losses Incurred YTD-p10'!F12</f>
        <v>-103407.72</v>
      </c>
      <c r="G13" s="395">
        <f>SUM(B13:F13)</f>
        <v>9436516.45</v>
      </c>
    </row>
    <row r="14" spans="1:7" s="396" customFormat="1" ht="15" customHeight="1">
      <c r="A14" s="396" t="s">
        <v>220</v>
      </c>
      <c r="B14" s="395">
        <f>'[5]Loss Expenses Paid YTD-17'!C37</f>
        <v>98287.58</v>
      </c>
      <c r="C14" s="395">
        <f>'[5]Loss Expenses Paid YTD-17'!C31</f>
        <v>588457.08</v>
      </c>
      <c r="D14" s="395">
        <f>'[5]Loss Expenses Paid YTD-17'!C25</f>
        <v>80977.87</v>
      </c>
      <c r="E14" s="395">
        <f>'[5]Loss Expenses Paid YTD-17'!C19</f>
        <v>9187.19</v>
      </c>
      <c r="F14" s="395">
        <f>'[5]Loss Expenses Paid YTD-17'!C13</f>
        <v>24720.31</v>
      </c>
      <c r="G14" s="395">
        <f aca="true" t="shared" si="1" ref="G14:G21">SUM(B14:F14)</f>
        <v>801630.0299999999</v>
      </c>
    </row>
    <row r="15" spans="1:8" s="396" customFormat="1" ht="15" customHeight="1">
      <c r="A15" s="396" t="s">
        <v>221</v>
      </c>
      <c r="B15" s="395">
        <f>'[5]Loss Expenses Paid YTD-17'!I37</f>
        <v>31892.32</v>
      </c>
      <c r="C15" s="395">
        <f>'[5]Loss Expenses Paid YTD-17'!I31</f>
        <v>297993.19</v>
      </c>
      <c r="D15" s="395">
        <f>'[5]Loss Expenses Paid YTD-17'!I25</f>
        <v>20559.05</v>
      </c>
      <c r="E15" s="395">
        <f>'[5]Loss Expenses Paid YTD-17'!I19</f>
        <v>2013.55</v>
      </c>
      <c r="F15" s="395">
        <f>'[5]Loss Expenses Paid YTD-17'!I13</f>
        <v>-212.42000000000002</v>
      </c>
      <c r="G15" s="395">
        <f t="shared" si="1"/>
        <v>352245.69</v>
      </c>
      <c r="H15" s="411"/>
    </row>
    <row r="16" spans="1:7" s="396" customFormat="1" ht="15" customHeight="1">
      <c r="A16" s="396" t="s">
        <v>222</v>
      </c>
      <c r="B16" s="395">
        <f>'[6]3Q03 TRIAL BALANCE'!F370</f>
        <v>23248.01</v>
      </c>
      <c r="C16" s="395">
        <f>+'[1]TB06-30-03(Final)'!H568</f>
        <v>0</v>
      </c>
      <c r="D16" s="395">
        <v>0</v>
      </c>
      <c r="E16" s="395">
        <v>0</v>
      </c>
      <c r="F16" s="84">
        <v>0</v>
      </c>
      <c r="G16" s="395">
        <f t="shared" si="1"/>
        <v>23248.01</v>
      </c>
    </row>
    <row r="17" spans="1:8" s="396" customFormat="1" ht="15" customHeight="1">
      <c r="A17" s="399" t="s">
        <v>223</v>
      </c>
      <c r="B17" s="395">
        <f>'[6]3Q03 TRIAL BALANCE'!F380</f>
        <v>241476.61</v>
      </c>
      <c r="C17" s="395">
        <v>0</v>
      </c>
      <c r="D17" s="395">
        <v>0</v>
      </c>
      <c r="E17" s="395">
        <v>0</v>
      </c>
      <c r="F17" s="395">
        <v>0</v>
      </c>
      <c r="G17" s="395">
        <f t="shared" si="1"/>
        <v>241476.61</v>
      </c>
      <c r="H17" s="411"/>
    </row>
    <row r="18" spans="1:7" s="396" customFormat="1" ht="15" customHeight="1">
      <c r="A18" s="399" t="s">
        <v>224</v>
      </c>
      <c r="B18" s="395">
        <f>'[6]3Q03 TRIAL BALANCE'!E352+'[6]3Q03 TRIAL BALANCE'!E356+'[6]3Q03 TRIAL BALANCE'!E358+'[6]3Q03 TRIAL BALANCE'!E361+'[6]3Q03 TRIAL BALANCE'!E363+'[6]3Q03 TRIAL BALANCE'!E365</f>
        <v>1431283.0999999999</v>
      </c>
      <c r="C18" s="395">
        <f>'[6]3Q03 TRIAL BALANCE'!E351+'[6]3Q03 TRIAL BALANCE'!E355+'[6]3Q03 TRIAL BALANCE'!E357+'[6]3Q03 TRIAL BALANCE'!E360+'[6]3Q03 TRIAL BALANCE'!E362+'[6]3Q03 TRIAL BALANCE'!E364</f>
        <v>-9583.1</v>
      </c>
      <c r="D18" s="395">
        <f>'[6]3Q03 TRIAL BALANCE'!E350+'[6]3Q03 TRIAL BALANCE'!E354-1</f>
        <v>-456.7</v>
      </c>
      <c r="E18" s="395">
        <f>'[6]3Q03 TRIAL BALANCE'!E349+'[6]3Q03 TRIAL BALANCE'!E353+1</f>
        <v>9.8</v>
      </c>
      <c r="F18" s="395">
        <f>SUM('[1]TB06-30-03(Final)'!G520:G523)</f>
        <v>0</v>
      </c>
      <c r="G18" s="395">
        <f t="shared" si="1"/>
        <v>1421253.0999999999</v>
      </c>
    </row>
    <row r="19" spans="1:8" s="396" customFormat="1" ht="15" customHeight="1">
      <c r="A19" s="396" t="s">
        <v>225</v>
      </c>
      <c r="B19" s="395">
        <f>'[6]3Q03 TRIAL BALANCE'!F372</f>
        <v>11756.25</v>
      </c>
      <c r="C19" s="395">
        <v>0</v>
      </c>
      <c r="D19" s="395">
        <v>0</v>
      </c>
      <c r="E19" s="395">
        <v>0</v>
      </c>
      <c r="F19" s="84">
        <v>0</v>
      </c>
      <c r="G19" s="395">
        <f t="shared" si="1"/>
        <v>11756.25</v>
      </c>
      <c r="H19" s="411"/>
    </row>
    <row r="20" spans="1:7" s="396" customFormat="1" ht="15" customHeight="1">
      <c r="A20" s="396" t="s">
        <v>226</v>
      </c>
      <c r="B20" s="395">
        <f>+'Earned Incurred YTD-p6'!C39</f>
        <v>2930842.619999998</v>
      </c>
      <c r="C20" s="395">
        <f>+'Earned Incurred YTD-p6'!D39</f>
        <v>0</v>
      </c>
      <c r="D20" s="395">
        <v>0</v>
      </c>
      <c r="E20" s="395">
        <v>0</v>
      </c>
      <c r="F20" s="84">
        <v>0</v>
      </c>
      <c r="G20" s="395">
        <f t="shared" si="1"/>
        <v>2930842.619999998</v>
      </c>
    </row>
    <row r="21" spans="1:7" s="396" customFormat="1" ht="15" customHeight="1">
      <c r="A21" s="396" t="s">
        <v>191</v>
      </c>
      <c r="B21" s="395">
        <f>23108.63+20347.1+10350</f>
        <v>53805.729999999996</v>
      </c>
      <c r="C21" s="395">
        <f>20700+6478.27</f>
        <v>27178.27</v>
      </c>
      <c r="D21" s="395">
        <f>+'[1]TB06-30-03(Final)'!D953</f>
        <v>0</v>
      </c>
      <c r="E21" s="400">
        <v>0</v>
      </c>
      <c r="F21" s="84">
        <v>0</v>
      </c>
      <c r="G21" s="395">
        <f t="shared" si="1"/>
        <v>80984</v>
      </c>
    </row>
    <row r="22" spans="1:7" s="396" customFormat="1" ht="15" customHeight="1" thickBot="1">
      <c r="A22" s="396" t="s">
        <v>217</v>
      </c>
      <c r="B22" s="397">
        <f aca="true" t="shared" si="2" ref="B22:G22">SUM(B13:B21)</f>
        <v>5624010.5299999975</v>
      </c>
      <c r="C22" s="397">
        <f>SUM(C13:C21)-1</f>
        <v>9041119.54</v>
      </c>
      <c r="D22" s="397">
        <f t="shared" si="2"/>
        <v>642177.0000000001</v>
      </c>
      <c r="E22" s="397">
        <f t="shared" si="2"/>
        <v>71544.52</v>
      </c>
      <c r="F22" s="397">
        <f>SUM(F13:F21)</f>
        <v>-78899.83</v>
      </c>
      <c r="G22" s="408">
        <f t="shared" si="2"/>
        <v>15299952.759999994</v>
      </c>
    </row>
    <row r="23" spans="2:7" s="396" customFormat="1" ht="15" customHeight="1" thickTop="1">
      <c r="B23" s="395"/>
      <c r="C23" s="395"/>
      <c r="D23" s="395"/>
      <c r="E23" s="395"/>
      <c r="F23" s="395"/>
      <c r="G23" s="395"/>
    </row>
    <row r="24" spans="1:7" s="396" customFormat="1" ht="15" customHeight="1" thickBot="1">
      <c r="A24" s="401" t="s">
        <v>227</v>
      </c>
      <c r="B24" s="402">
        <f aca="true" t="shared" si="3" ref="B24:G24">B10-B22</f>
        <v>10349136.350000003</v>
      </c>
      <c r="C24" s="402">
        <f>C10-C22</f>
        <v>-9148926.54</v>
      </c>
      <c r="D24" s="402">
        <f t="shared" si="3"/>
        <v>-646734.0000000001</v>
      </c>
      <c r="E24" s="402">
        <f t="shared" si="3"/>
        <v>-71456.52</v>
      </c>
      <c r="F24" s="402">
        <f t="shared" si="3"/>
        <v>78899.83</v>
      </c>
      <c r="G24" s="408">
        <f t="shared" si="3"/>
        <v>560918.1200000066</v>
      </c>
    </row>
    <row r="25" spans="2:7" s="396" customFormat="1" ht="15" customHeight="1" thickTop="1">
      <c r="B25" s="395"/>
      <c r="C25" s="395"/>
      <c r="D25" s="395"/>
      <c r="E25" s="395"/>
      <c r="F25" s="395"/>
      <c r="G25" s="395"/>
    </row>
    <row r="26" spans="1:7" s="396" customFormat="1" ht="15" customHeight="1">
      <c r="A26" s="390" t="s">
        <v>228</v>
      </c>
      <c r="B26" s="398"/>
      <c r="C26" s="398"/>
      <c r="D26" s="398"/>
      <c r="E26" s="398"/>
      <c r="F26" s="398"/>
      <c r="G26" s="395"/>
    </row>
    <row r="27" spans="1:7" s="396" customFormat="1" ht="15" customHeight="1">
      <c r="A27" s="396" t="s">
        <v>229</v>
      </c>
      <c r="B27" s="395">
        <v>0</v>
      </c>
      <c r="C27" s="395">
        <f>'Earned Incurred YTD-p6'!B50</f>
        <v>17083.95</v>
      </c>
      <c r="D27" s="395">
        <v>0</v>
      </c>
      <c r="E27" s="395">
        <v>0</v>
      </c>
      <c r="F27" s="395">
        <v>0</v>
      </c>
      <c r="G27" s="395">
        <f>SUM(B27:F27)</f>
        <v>17083.95</v>
      </c>
    </row>
    <row r="28" spans="1:7" s="396" customFormat="1" ht="15" customHeight="1">
      <c r="A28" s="396" t="s">
        <v>230</v>
      </c>
      <c r="B28" s="395">
        <f>'Balance Sheet-p1'!D17</f>
        <v>249936.05000000005</v>
      </c>
      <c r="C28" s="395">
        <v>0</v>
      </c>
      <c r="D28" s="395">
        <v>0</v>
      </c>
      <c r="E28" s="395">
        <v>0</v>
      </c>
      <c r="F28" s="395">
        <v>0</v>
      </c>
      <c r="G28" s="395">
        <f>SUM(B28:F28)</f>
        <v>249936.05000000005</v>
      </c>
    </row>
    <row r="29" spans="1:7" s="396" customFormat="1" ht="15" customHeight="1" thickBot="1">
      <c r="A29" s="396" t="s">
        <v>217</v>
      </c>
      <c r="B29" s="397">
        <f aca="true" t="shared" si="4" ref="B29:G29">SUM(B27:B28)</f>
        <v>249936.05000000005</v>
      </c>
      <c r="C29" s="397">
        <f t="shared" si="4"/>
        <v>17083.95</v>
      </c>
      <c r="D29" s="397">
        <f t="shared" si="4"/>
        <v>0</v>
      </c>
      <c r="E29" s="397">
        <f t="shared" si="4"/>
        <v>0</v>
      </c>
      <c r="F29" s="397">
        <f t="shared" si="4"/>
        <v>0</v>
      </c>
      <c r="G29" s="408">
        <f t="shared" si="4"/>
        <v>267020.00000000006</v>
      </c>
    </row>
    <row r="30" spans="2:7" s="396" customFormat="1" ht="15" customHeight="1" thickTop="1">
      <c r="B30" s="395"/>
      <c r="C30" s="395"/>
      <c r="D30" s="395"/>
      <c r="E30" s="395"/>
      <c r="F30" s="395"/>
      <c r="G30" s="395"/>
    </row>
    <row r="31" spans="1:7" s="396" customFormat="1" ht="15" customHeight="1">
      <c r="A31" s="390" t="s">
        <v>231</v>
      </c>
      <c r="B31" s="398"/>
      <c r="C31" s="398"/>
      <c r="D31" s="398"/>
      <c r="E31" s="398"/>
      <c r="F31" s="398"/>
      <c r="G31" s="395"/>
    </row>
    <row r="32" spans="1:7" s="396" customFormat="1" ht="15" customHeight="1">
      <c r="A32" s="396" t="s">
        <v>232</v>
      </c>
      <c r="B32" s="395">
        <f>'Earned Incurred YTD-p6'!B49</f>
        <v>6721.74</v>
      </c>
      <c r="C32" s="395">
        <f>'Earned Incurred YTD-p6'!C49</f>
        <v>0</v>
      </c>
      <c r="D32" s="395">
        <v>0</v>
      </c>
      <c r="E32" s="395">
        <v>0</v>
      </c>
      <c r="F32" s="395">
        <v>0</v>
      </c>
      <c r="G32" s="395">
        <f>SUM(B32:F32)</f>
        <v>6721.74</v>
      </c>
    </row>
    <row r="33" spans="1:7" s="396" customFormat="1" ht="15" customHeight="1">
      <c r="A33" s="396" t="s">
        <v>233</v>
      </c>
      <c r="B33" s="395">
        <v>0</v>
      </c>
      <c r="C33" s="395">
        <f>'[7]Equity YTD-p4'!$C$33</f>
        <v>282394.17</v>
      </c>
      <c r="D33" s="395">
        <v>0</v>
      </c>
      <c r="E33" s="395">
        <v>0</v>
      </c>
      <c r="F33" s="395">
        <v>0</v>
      </c>
      <c r="G33" s="395">
        <f>SUM(B33:F33)</f>
        <v>282394.17</v>
      </c>
    </row>
    <row r="34" spans="1:7" s="396" customFormat="1" ht="15" customHeight="1" thickBot="1">
      <c r="A34" s="396" t="s">
        <v>217</v>
      </c>
      <c r="B34" s="397">
        <f aca="true" t="shared" si="5" ref="B34:G34">SUM(B32:B33)</f>
        <v>6721.74</v>
      </c>
      <c r="C34" s="397">
        <f t="shared" si="5"/>
        <v>282394.17</v>
      </c>
      <c r="D34" s="397">
        <f t="shared" si="5"/>
        <v>0</v>
      </c>
      <c r="E34" s="397">
        <f t="shared" si="5"/>
        <v>0</v>
      </c>
      <c r="F34" s="397">
        <f t="shared" si="5"/>
        <v>0</v>
      </c>
      <c r="G34" s="408">
        <f t="shared" si="5"/>
        <v>289115.91</v>
      </c>
    </row>
    <row r="35" spans="2:7" s="396" customFormat="1" ht="15" customHeight="1" thickTop="1">
      <c r="B35" s="395"/>
      <c r="C35" s="395"/>
      <c r="D35" s="395"/>
      <c r="E35" s="395"/>
      <c r="F35" s="395"/>
      <c r="G35" s="403"/>
    </row>
    <row r="36" spans="1:7" s="396" customFormat="1" ht="19.5" customHeight="1" thickBot="1">
      <c r="A36" s="390" t="s">
        <v>234</v>
      </c>
      <c r="B36" s="402">
        <f aca="true" t="shared" si="6" ref="B36:G36">B24-B29+B34</f>
        <v>10105922.040000003</v>
      </c>
      <c r="C36" s="402">
        <f t="shared" si="6"/>
        <v>-8883616.319999998</v>
      </c>
      <c r="D36" s="402">
        <f t="shared" si="6"/>
        <v>-646734.0000000001</v>
      </c>
      <c r="E36" s="402">
        <f t="shared" si="6"/>
        <v>-71456.52</v>
      </c>
      <c r="F36" s="402">
        <f t="shared" si="6"/>
        <v>78899.83</v>
      </c>
      <c r="G36" s="408">
        <f t="shared" si="6"/>
        <v>583014.0300000065</v>
      </c>
    </row>
    <row r="37" spans="2:7" s="396" customFormat="1" ht="15" customHeight="1" thickTop="1">
      <c r="B37" s="395"/>
      <c r="C37" s="395"/>
      <c r="D37" s="395"/>
      <c r="E37" s="395"/>
      <c r="F37" s="395"/>
      <c r="G37" s="395"/>
    </row>
    <row r="38" spans="1:7" s="396" customFormat="1" ht="15" customHeight="1">
      <c r="A38" s="404" t="s">
        <v>148</v>
      </c>
      <c r="B38" s="395"/>
      <c r="C38" s="395"/>
      <c r="D38" s="395"/>
      <c r="E38" s="395"/>
      <c r="F38" s="395"/>
      <c r="G38" s="395"/>
    </row>
    <row r="39" spans="1:7" s="396" customFormat="1" ht="15" customHeight="1">
      <c r="A39" s="396" t="s">
        <v>190</v>
      </c>
      <c r="B39" s="395">
        <f>'Premiums YTD-p8'!B17</f>
        <v>10049767</v>
      </c>
      <c r="C39" s="395">
        <f>'Premiums YTD-p8'!C17</f>
        <v>557124</v>
      </c>
      <c r="D39" s="395">
        <f>'Premiums YTD-p8'!D17</f>
        <v>0</v>
      </c>
      <c r="E39" s="395">
        <f>'Premiums YTD-p8'!E17</f>
        <v>0</v>
      </c>
      <c r="F39" s="395">
        <f>'Premiums YTD-p8'!F17</f>
        <v>0</v>
      </c>
      <c r="G39" s="395">
        <f>SUM(B39:F39)</f>
        <v>10606891</v>
      </c>
    </row>
    <row r="40" spans="1:7" s="396" customFormat="1" ht="15" customHeight="1">
      <c r="A40" s="396" t="s">
        <v>235</v>
      </c>
      <c r="B40" s="395">
        <f>+'Losses Incurred YTD-p10'!B18</f>
        <v>3022801.95</v>
      </c>
      <c r="C40" s="395">
        <f>+'Losses Incurred YTD-p10'!C18</f>
        <v>2954984.33</v>
      </c>
      <c r="D40" s="395">
        <f>+'Losses Incurred YTD-p10'!D18</f>
        <v>138044</v>
      </c>
      <c r="E40" s="395">
        <f>'Losses Incurred YTD-p10'!E18</f>
        <v>90525</v>
      </c>
      <c r="F40" s="395">
        <f>'Losses Incurred YTD-p10'!F18</f>
        <v>27659</v>
      </c>
      <c r="G40" s="395">
        <f>SUM(B40:F40)</f>
        <v>6234014.28</v>
      </c>
    </row>
    <row r="41" spans="1:7" s="396" customFormat="1" ht="15" customHeight="1">
      <c r="A41" s="396" t="s">
        <v>236</v>
      </c>
      <c r="B41" s="395">
        <f>+'Loss Expenses YTD-p12'!B18</f>
        <v>204855.69</v>
      </c>
      <c r="C41" s="395">
        <f>+'Loss Expenses YTD-p12'!C18</f>
        <v>291363.99999999994</v>
      </c>
      <c r="D41" s="395">
        <f>+'Loss Expenses YTD-p12'!D18</f>
        <v>15358.119999999999</v>
      </c>
      <c r="E41" s="395">
        <f>'Loss Expenses YTD-p12'!E18</f>
        <v>10070.58</v>
      </c>
      <c r="F41" s="395">
        <f>'Loss Expenses YTD-p12'!F18</f>
        <v>3075.8600000000006</v>
      </c>
      <c r="G41" s="395">
        <f>SUM(B41:F41)</f>
        <v>524724.25</v>
      </c>
    </row>
    <row r="42" spans="1:7" s="396" customFormat="1" ht="15" customHeight="1">
      <c r="A42" s="396" t="s">
        <v>237</v>
      </c>
      <c r="B42" s="395">
        <f>'Earned Incurred YTD-p6'!B41</f>
        <v>305437.57999999996</v>
      </c>
      <c r="C42" s="395">
        <f>'Earned Incurred YTD-p6'!C41</f>
        <v>0</v>
      </c>
      <c r="D42" s="395">
        <v>0</v>
      </c>
      <c r="E42" s="395">
        <v>0</v>
      </c>
      <c r="F42" s="84">
        <v>0</v>
      </c>
      <c r="G42" s="395">
        <f>SUM(B42:F42)</f>
        <v>305437.57999999996</v>
      </c>
    </row>
    <row r="43" spans="1:7" s="396" customFormat="1" ht="15" customHeight="1">
      <c r="A43" s="396" t="s">
        <v>238</v>
      </c>
      <c r="B43" s="395">
        <f>'Earned Incurred YTD-p6'!B33</f>
        <v>42827.65</v>
      </c>
      <c r="C43" s="395">
        <f>'Earned Incurred YTD-p6'!C33</f>
        <v>0</v>
      </c>
      <c r="D43" s="395">
        <v>0</v>
      </c>
      <c r="E43" s="395">
        <v>0</v>
      </c>
      <c r="F43" s="84">
        <v>0</v>
      </c>
      <c r="G43" s="395">
        <f>SUM(B43:F43)</f>
        <v>42827.65</v>
      </c>
    </row>
    <row r="44" spans="1:7" s="396" customFormat="1" ht="15" customHeight="1" thickBot="1">
      <c r="A44" s="393" t="s">
        <v>217</v>
      </c>
      <c r="B44" s="397">
        <f>SUM(B39:B43)+1</f>
        <v>13625690.87</v>
      </c>
      <c r="C44" s="397">
        <f>SUM(C39:C43)</f>
        <v>3803472.33</v>
      </c>
      <c r="D44" s="397">
        <f>SUM(D39:D43)</f>
        <v>153402.12</v>
      </c>
      <c r="E44" s="397">
        <f>SUM(E39:E43)</f>
        <v>100595.58</v>
      </c>
      <c r="F44" s="397">
        <f>SUM(F39:F43)</f>
        <v>30734.86</v>
      </c>
      <c r="G44" s="408">
        <f>SUM(G39:G43)</f>
        <v>17713894.759999998</v>
      </c>
    </row>
    <row r="45" spans="2:7" s="396" customFormat="1" ht="15" customHeight="1" thickTop="1">
      <c r="B45" s="395"/>
      <c r="C45" s="395"/>
      <c r="D45" s="395"/>
      <c r="E45" s="395"/>
      <c r="F45" s="395"/>
      <c r="G45" s="395"/>
    </row>
    <row r="46" spans="1:7" s="396" customFormat="1" ht="15" customHeight="1">
      <c r="A46" s="404" t="s">
        <v>149</v>
      </c>
      <c r="B46" s="405"/>
      <c r="C46" s="405"/>
      <c r="D46" s="405"/>
      <c r="E46" s="405"/>
      <c r="F46" s="395"/>
      <c r="G46" s="395"/>
    </row>
    <row r="47" spans="1:7" s="396" customFormat="1" ht="15" customHeight="1">
      <c r="A47" s="396" t="s">
        <v>190</v>
      </c>
      <c r="B47" s="395">
        <f>+'Premiums YTD-p8'!B23</f>
        <v>0</v>
      </c>
      <c r="C47" s="395">
        <f>+'Premiums YTD-p8'!C23</f>
        <v>8897126</v>
      </c>
      <c r="D47" s="395">
        <f>+'Premiums YTD-p8'!D23</f>
        <v>0</v>
      </c>
      <c r="E47" s="395">
        <f>+'Premiums YTD-p8'!E23</f>
        <v>0</v>
      </c>
      <c r="F47" s="395">
        <v>0</v>
      </c>
      <c r="G47" s="395">
        <f>SUM(B47:F47)</f>
        <v>8897126</v>
      </c>
    </row>
    <row r="48" spans="1:7" s="396" customFormat="1" ht="15" customHeight="1">
      <c r="A48" s="396" t="s">
        <v>235</v>
      </c>
      <c r="B48" s="395">
        <v>0</v>
      </c>
      <c r="C48" s="395">
        <f>+'Losses Incurred YTD-p10'!C24</f>
        <v>4404123.38</v>
      </c>
      <c r="D48" s="395">
        <f>+'Losses Incurred YTD-p10'!D24</f>
        <v>932658.46</v>
      </c>
      <c r="E48" s="395">
        <f>+'Losses Incurred YTD-p10'!E24</f>
        <v>172030</v>
      </c>
      <c r="F48" s="395">
        <f>+'Losses Incurred YTD-p10'!F24</f>
        <v>78666.85</v>
      </c>
      <c r="G48" s="395">
        <f>SUM(B48:F48)-2</f>
        <v>5587476.6899999995</v>
      </c>
    </row>
    <row r="49" spans="1:7" s="396" customFormat="1" ht="15" customHeight="1">
      <c r="A49" s="396" t="s">
        <v>239</v>
      </c>
      <c r="B49" s="395">
        <v>0</v>
      </c>
      <c r="C49" s="395">
        <f>+'Loss Expenses YTD-p12'!C24</f>
        <v>343249.24</v>
      </c>
      <c r="D49" s="395">
        <f>+'Loss Expenses YTD-p12'!D24</f>
        <v>103711.5</v>
      </c>
      <c r="E49" s="395">
        <f>+'Loss Expenses YTD-p12'!E24</f>
        <v>19129.739999999998</v>
      </c>
      <c r="F49" s="395">
        <f>+'Loss Expenses YTD-p12'!F24</f>
        <v>8746.74</v>
      </c>
      <c r="G49" s="395">
        <f>SUM(B49:F49)</f>
        <v>474837.22</v>
      </c>
    </row>
    <row r="50" spans="1:7" s="396" customFormat="1" ht="15" customHeight="1">
      <c r="A50" s="396" t="s">
        <v>237</v>
      </c>
      <c r="B50" s="395">
        <v>0</v>
      </c>
      <c r="C50" s="395">
        <f>+'Earned Incurred YTD-p6'!B42</f>
        <v>356304.2</v>
      </c>
      <c r="D50" s="395">
        <v>0</v>
      </c>
      <c r="E50" s="395">
        <v>0</v>
      </c>
      <c r="F50" s="395">
        <v>0</v>
      </c>
      <c r="G50" s="395">
        <f>SUM(B50:F50)</f>
        <v>356304.2</v>
      </c>
    </row>
    <row r="51" spans="1:7" s="396" customFormat="1" ht="15" customHeight="1">
      <c r="A51" s="396" t="s">
        <v>238</v>
      </c>
      <c r="B51" s="395">
        <v>0</v>
      </c>
      <c r="C51" s="395">
        <f>+'Earned Incurred YTD-p6'!B34</f>
        <v>46320</v>
      </c>
      <c r="D51" s="395">
        <v>0</v>
      </c>
      <c r="E51" s="395">
        <v>0</v>
      </c>
      <c r="F51" s="395">
        <v>0</v>
      </c>
      <c r="G51" s="395">
        <f>SUM(B51:F51)</f>
        <v>46320</v>
      </c>
    </row>
    <row r="52" spans="1:7" s="396" customFormat="1" ht="15" customHeight="1" thickBot="1">
      <c r="A52" s="396" t="s">
        <v>217</v>
      </c>
      <c r="B52" s="397">
        <f aca="true" t="shared" si="7" ref="B52:G52">SUM(B47:B51)</f>
        <v>0</v>
      </c>
      <c r="C52" s="397">
        <f>SUM(C47:C51)-1</f>
        <v>14047121.819999998</v>
      </c>
      <c r="D52" s="397">
        <f t="shared" si="7"/>
        <v>1036369.96</v>
      </c>
      <c r="E52" s="397">
        <f t="shared" si="7"/>
        <v>191159.74</v>
      </c>
      <c r="F52" s="397">
        <f t="shared" si="7"/>
        <v>87413.59000000001</v>
      </c>
      <c r="G52" s="408">
        <f t="shared" si="7"/>
        <v>15362064.11</v>
      </c>
    </row>
    <row r="53" spans="2:7" s="396" customFormat="1" ht="15" customHeight="1" thickTop="1">
      <c r="B53" s="406"/>
      <c r="C53" s="406"/>
      <c r="D53" s="406"/>
      <c r="E53" s="406"/>
      <c r="F53" s="84"/>
      <c r="G53" s="84"/>
    </row>
    <row r="54" spans="1:8" s="409" customFormat="1" ht="15" customHeight="1" thickBot="1">
      <c r="A54" s="407" t="s">
        <v>240</v>
      </c>
      <c r="B54" s="439">
        <f>B36-B44+B52</f>
        <v>-3519768.8299999963</v>
      </c>
      <c r="C54" s="439">
        <f>C36-C44+C52</f>
        <v>1360033.17</v>
      </c>
      <c r="D54" s="439">
        <f>D36-D44+D52</f>
        <v>236233.83999999985</v>
      </c>
      <c r="E54" s="439">
        <f>E36-E44+E52</f>
        <v>19107.639999999985</v>
      </c>
      <c r="F54" s="439">
        <f>F36-F44+F52</f>
        <v>135578.56</v>
      </c>
      <c r="G54" s="439">
        <f>G36-G44+G52+1</f>
        <v>-1768815.6199999936</v>
      </c>
      <c r="H54" s="411"/>
    </row>
    <row r="55" spans="2:7" s="396" customFormat="1" ht="15" thickTop="1">
      <c r="B55" s="406"/>
      <c r="C55" s="406"/>
      <c r="D55" s="406"/>
      <c r="E55" s="406"/>
      <c r="F55" s="84"/>
      <c r="G55" s="84"/>
    </row>
    <row r="56" spans="2:7" s="396" customFormat="1" ht="14.25">
      <c r="B56" s="406"/>
      <c r="C56" s="406"/>
      <c r="D56" s="406"/>
      <c r="E56" s="406"/>
      <c r="F56" s="84"/>
      <c r="G56" s="84"/>
    </row>
    <row r="57" spans="2:7" s="396" customFormat="1" ht="14.25">
      <c r="B57" s="406"/>
      <c r="C57" s="406"/>
      <c r="D57" s="406"/>
      <c r="E57" s="406"/>
      <c r="F57" s="84"/>
      <c r="G57" s="84"/>
    </row>
  </sheetData>
  <mergeCells count="4">
    <mergeCell ref="A1:G1"/>
    <mergeCell ref="A2:G2"/>
    <mergeCell ref="A3:G3"/>
    <mergeCell ref="A4:G4"/>
  </mergeCells>
  <printOptions horizontalCentered="1"/>
  <pageMargins left="0.25" right="0.25" top="0.75" bottom="0.5" header="0.5" footer="0"/>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E154"/>
  <sheetViews>
    <sheetView zoomScale="75" zoomScaleNormal="75" workbookViewId="0" topLeftCell="A3">
      <selection activeCell="E26" sqref="E26"/>
    </sheetView>
  </sheetViews>
  <sheetFormatPr defaultColWidth="9.140625" defaultRowHeight="15" customHeight="1"/>
  <cols>
    <col min="1" max="1" width="55.7109375" style="19" customWidth="1"/>
    <col min="2" max="4" width="16.7109375" style="188" customWidth="1"/>
    <col min="5" max="5" width="9.28125" style="19" bestFit="1" customWidth="1"/>
    <col min="6" max="16384" width="9.140625" style="19" customWidth="1"/>
  </cols>
  <sheetData>
    <row r="1" spans="1:4" s="116" customFormat="1" ht="27" customHeight="1">
      <c r="A1" s="473" t="s">
        <v>177</v>
      </c>
      <c r="B1" s="474"/>
      <c r="C1" s="474"/>
      <c r="D1" s="475"/>
    </row>
    <row r="2" spans="1:4" s="30" customFormat="1" ht="18" customHeight="1">
      <c r="A2" s="476"/>
      <c r="B2" s="465"/>
      <c r="C2" s="465"/>
      <c r="D2" s="477"/>
    </row>
    <row r="3" spans="1:4" s="30" customFormat="1" ht="15.75" customHeight="1">
      <c r="A3" s="471" t="s">
        <v>166</v>
      </c>
      <c r="B3" s="467"/>
      <c r="C3" s="467"/>
      <c r="D3" s="472"/>
    </row>
    <row r="4" spans="1:4" s="30" customFormat="1" ht="15.75" customHeight="1">
      <c r="A4" s="471" t="s">
        <v>241</v>
      </c>
      <c r="B4" s="467"/>
      <c r="C4" s="467"/>
      <c r="D4" s="472"/>
    </row>
    <row r="5" spans="1:4" s="30" customFormat="1" ht="15.75" customHeight="1">
      <c r="A5" s="471" t="s">
        <v>132</v>
      </c>
      <c r="B5" s="467"/>
      <c r="C5" s="467"/>
      <c r="D5" s="472"/>
    </row>
    <row r="6" spans="1:4" s="30" customFormat="1" ht="15" customHeight="1">
      <c r="A6" s="105"/>
      <c r="B6" s="161"/>
      <c r="C6" s="161"/>
      <c r="D6" s="192"/>
    </row>
    <row r="7" spans="1:4" s="15" customFormat="1" ht="15" customHeight="1">
      <c r="A7" s="106"/>
      <c r="B7" s="161"/>
      <c r="C7" s="161"/>
      <c r="D7" s="192"/>
    </row>
    <row r="8" spans="1:4" s="15" customFormat="1" ht="15" customHeight="1">
      <c r="A8" s="107" t="s">
        <v>242</v>
      </c>
      <c r="B8" s="184" t="s">
        <v>138</v>
      </c>
      <c r="C8" s="189"/>
      <c r="D8" s="193"/>
    </row>
    <row r="9" spans="1:4" s="15" customFormat="1" ht="15" customHeight="1">
      <c r="A9" s="107"/>
      <c r="B9" s="185" t="s">
        <v>157</v>
      </c>
      <c r="C9" s="190"/>
      <c r="D9" s="194"/>
    </row>
    <row r="10" spans="1:4" s="15" customFormat="1" ht="15" customHeight="1">
      <c r="A10" s="89"/>
      <c r="B10" s="213" t="s">
        <v>187</v>
      </c>
      <c r="C10" s="217"/>
      <c r="D10" s="218"/>
    </row>
    <row r="11" spans="1:4" s="15" customFormat="1" ht="15" customHeight="1">
      <c r="A11" s="90" t="s">
        <v>243</v>
      </c>
      <c r="B11" s="214"/>
      <c r="C11" s="433">
        <f>'Premiums QTD-p7'!G11</f>
        <v>5540253</v>
      </c>
      <c r="D11" s="195"/>
    </row>
    <row r="12" spans="1:4" s="15" customFormat="1" ht="15" customHeight="1">
      <c r="A12" s="90"/>
      <c r="B12" s="214"/>
      <c r="C12" s="84"/>
      <c r="D12" s="195"/>
    </row>
    <row r="13" spans="1:4" s="15" customFormat="1" ht="15" customHeight="1">
      <c r="A13" s="91" t="s">
        <v>244</v>
      </c>
      <c r="B13" s="214">
        <f>+'Premiums QTD-p7'!G17</f>
        <v>10606891</v>
      </c>
      <c r="C13" s="68"/>
      <c r="D13" s="195"/>
    </row>
    <row r="14" spans="1:4" s="15" customFormat="1" ht="15" customHeight="1">
      <c r="A14" s="91" t="s">
        <v>245</v>
      </c>
      <c r="B14" s="215">
        <f>'Premiums QTD-p7'!G23</f>
        <v>10043687</v>
      </c>
      <c r="C14" s="68"/>
      <c r="D14" s="195"/>
    </row>
    <row r="15" spans="1:4" s="15" customFormat="1" ht="15" customHeight="1">
      <c r="A15" s="91" t="s">
        <v>246</v>
      </c>
      <c r="B15" s="214"/>
      <c r="C15" s="186">
        <f>B14-B13</f>
        <v>-563204</v>
      </c>
      <c r="D15" s="195"/>
    </row>
    <row r="16" spans="1:4" s="15" customFormat="1" ht="15" customHeight="1">
      <c r="A16" s="90" t="s">
        <v>247</v>
      </c>
      <c r="B16" s="214"/>
      <c r="C16" s="68"/>
      <c r="D16" s="434">
        <f>C11+C15</f>
        <v>4977049</v>
      </c>
    </row>
    <row r="17" spans="1:4" s="15" customFormat="1" ht="15" customHeight="1">
      <c r="A17" s="91" t="s">
        <v>248</v>
      </c>
      <c r="B17" s="214"/>
      <c r="C17" s="68">
        <f>'[6]3Q03 TRIAL BALANCE'!D244</f>
        <v>2545236.31</v>
      </c>
      <c r="D17" s="195"/>
    </row>
    <row r="18" spans="1:4" s="15" customFormat="1" ht="15" customHeight="1">
      <c r="A18" s="91" t="s">
        <v>38</v>
      </c>
      <c r="B18" s="214"/>
      <c r="C18" s="186">
        <f>-'[6]3Q03 TRIAL BALANCE'!D256</f>
        <v>72701.15000000001</v>
      </c>
      <c r="D18" s="195"/>
    </row>
    <row r="19" spans="1:4" s="15" customFormat="1" ht="15" customHeight="1">
      <c r="A19" s="90" t="s">
        <v>249</v>
      </c>
      <c r="B19" s="214"/>
      <c r="C19" s="68">
        <f>C17-C18</f>
        <v>2472535.16</v>
      </c>
      <c r="D19" s="195"/>
    </row>
    <row r="20" spans="1:4" s="15" customFormat="1" ht="15" customHeight="1">
      <c r="A20" s="91" t="s">
        <v>250</v>
      </c>
      <c r="B20" s="214">
        <f>+'Losses Incurred QTD-p9'!G18</f>
        <v>6234014.28</v>
      </c>
      <c r="C20" s="68" t="s">
        <v>187</v>
      </c>
      <c r="D20" s="195"/>
    </row>
    <row r="21" spans="1:4" s="15" customFormat="1" ht="15" customHeight="1">
      <c r="A21" s="91" t="s">
        <v>251</v>
      </c>
      <c r="B21" s="215">
        <f>+'Losses Incurred QTD-p9'!G24</f>
        <v>5697722.215</v>
      </c>
      <c r="C21" s="68"/>
      <c r="D21" s="195"/>
    </row>
    <row r="22" spans="1:4" s="15" customFormat="1" ht="15" customHeight="1">
      <c r="A22" s="91" t="s">
        <v>252</v>
      </c>
      <c r="B22" s="216"/>
      <c r="C22" s="186">
        <f>B20-B21</f>
        <v>536292.0650000004</v>
      </c>
      <c r="D22" s="195"/>
    </row>
    <row r="23" spans="1:4" s="15" customFormat="1" ht="15" customHeight="1">
      <c r="A23" s="90" t="s">
        <v>253</v>
      </c>
      <c r="B23" s="214"/>
      <c r="C23" s="68"/>
      <c r="D23" s="195">
        <f>C19+C22</f>
        <v>3008827.2250000006</v>
      </c>
    </row>
    <row r="24" spans="1:4" s="15" customFormat="1" ht="15" customHeight="1">
      <c r="A24" s="91" t="s">
        <v>254</v>
      </c>
      <c r="B24" s="214"/>
      <c r="C24" s="68">
        <f>'[6]3Q03 TRIAL BALANCE'!D309+1</f>
        <v>230083.48</v>
      </c>
      <c r="D24" s="195"/>
    </row>
    <row r="25" spans="1:4" s="15" customFormat="1" ht="15" customHeight="1">
      <c r="A25" s="91" t="s">
        <v>255</v>
      </c>
      <c r="B25" s="214"/>
      <c r="C25" s="186">
        <f>'[6]3Q03 TRIAL BALANCE'!D333</f>
        <v>111187.2</v>
      </c>
      <c r="D25" s="195"/>
    </row>
    <row r="26" spans="1:4" s="15" customFormat="1" ht="15" customHeight="1">
      <c r="A26" s="90" t="s">
        <v>256</v>
      </c>
      <c r="B26" s="214"/>
      <c r="C26" s="68">
        <f>C24+C25-1</f>
        <v>341269.68</v>
      </c>
      <c r="D26" s="195"/>
    </row>
    <row r="27" spans="1:4" s="15" customFormat="1" ht="15" customHeight="1">
      <c r="A27" s="91" t="s">
        <v>257</v>
      </c>
      <c r="B27" s="214">
        <f>'Loss Expenses QTD-p11'!G18</f>
        <v>524724.25</v>
      </c>
      <c r="C27" s="68"/>
      <c r="D27" s="195"/>
    </row>
    <row r="28" spans="1:4" s="15" customFormat="1" ht="15" customHeight="1">
      <c r="A28" s="91" t="s">
        <v>258</v>
      </c>
      <c r="B28" s="215">
        <f>'Loss Expenses QTD-p11'!G24</f>
        <v>474063.79000000004</v>
      </c>
      <c r="C28" s="68"/>
      <c r="D28" s="195"/>
    </row>
    <row r="29" spans="1:4" s="15" customFormat="1" ht="15" customHeight="1">
      <c r="A29" s="91" t="s">
        <v>259</v>
      </c>
      <c r="B29" s="214"/>
      <c r="C29" s="186">
        <f>B27-B28</f>
        <v>50660.45999999996</v>
      </c>
      <c r="D29" s="195"/>
    </row>
    <row r="30" spans="1:4" s="15" customFormat="1" ht="15" customHeight="1">
      <c r="A30" s="90" t="s">
        <v>260</v>
      </c>
      <c r="B30" s="214"/>
      <c r="C30" s="68"/>
      <c r="D30" s="197">
        <f>C26+C29</f>
        <v>391930.13999999996</v>
      </c>
    </row>
    <row r="31" spans="1:4" s="15" customFormat="1" ht="15" customHeight="1">
      <c r="A31" s="90" t="s">
        <v>261</v>
      </c>
      <c r="B31" s="214"/>
      <c r="C31" s="68"/>
      <c r="D31" s="455">
        <f>D23+D30</f>
        <v>3400757.3650000007</v>
      </c>
    </row>
    <row r="32" spans="1:4" s="15" customFormat="1" ht="15" customHeight="1">
      <c r="A32" s="91" t="s">
        <v>262</v>
      </c>
      <c r="B32" s="214"/>
      <c r="C32" s="68">
        <v>0</v>
      </c>
      <c r="D32" s="195"/>
    </row>
    <row r="33" spans="1:4" s="15" customFormat="1" ht="15" customHeight="1">
      <c r="A33" s="91" t="s">
        <v>263</v>
      </c>
      <c r="B33" s="214">
        <f>'Earned Incurred YTD-p6'!B33</f>
        <v>42827.65</v>
      </c>
      <c r="C33" s="68"/>
      <c r="D33" s="195"/>
    </row>
    <row r="34" spans="1:4" s="15" customFormat="1" ht="15" customHeight="1">
      <c r="A34" s="91" t="s">
        <v>264</v>
      </c>
      <c r="B34" s="215">
        <f>'[7]Earned Incurred QTD-p5'!$B$33</f>
        <v>22966</v>
      </c>
      <c r="C34" s="68"/>
      <c r="D34" s="195"/>
    </row>
    <row r="35" spans="1:4" s="15" customFormat="1" ht="15" customHeight="1">
      <c r="A35" s="91" t="s">
        <v>32</v>
      </c>
      <c r="B35" s="214"/>
      <c r="C35" s="186">
        <f>B33-B34</f>
        <v>19861.65</v>
      </c>
      <c r="D35" s="195"/>
    </row>
    <row r="36" spans="1:4" s="15" customFormat="1" ht="15" customHeight="1">
      <c r="A36" s="90" t="s">
        <v>33</v>
      </c>
      <c r="B36" s="214"/>
      <c r="C36" s="68" t="s">
        <v>187</v>
      </c>
      <c r="D36" s="195">
        <f>SUM(C32:C35)</f>
        <v>19861.65</v>
      </c>
    </row>
    <row r="37" spans="1:4" s="15" customFormat="1" ht="15" customHeight="1">
      <c r="A37" s="91" t="s">
        <v>147</v>
      </c>
      <c r="B37" s="214"/>
      <c r="C37" s="65"/>
      <c r="D37" s="199">
        <f>'[6]3Q03 TRIAL BALANCE'!D367</f>
        <v>502893.80000000005</v>
      </c>
    </row>
    <row r="38" spans="1:4" s="15" customFormat="1" ht="15" customHeight="1">
      <c r="A38" s="32" t="s">
        <v>168</v>
      </c>
      <c r="B38" s="214"/>
      <c r="C38" s="68">
        <f>'[6]3Q03 TRIAL BALANCE'!D370+'[6]3Q03 TRIAL BALANCE'!D372+'[6]3Q03 TRIAL BALANCE'!D380</f>
        <v>88104.19</v>
      </c>
      <c r="D38" s="195"/>
    </row>
    <row r="39" spans="1:4" s="15" customFormat="1" ht="15" customHeight="1">
      <c r="A39" s="32" t="s">
        <v>123</v>
      </c>
      <c r="B39" s="214"/>
      <c r="C39" s="186">
        <f>'[6]3Q03 TRIAL BALANCE'!D671-C43</f>
        <v>994477.8400000003</v>
      </c>
      <c r="D39" s="195"/>
    </row>
    <row r="40" spans="1:4" s="15" customFormat="1" ht="15" customHeight="1">
      <c r="A40" s="31" t="s">
        <v>127</v>
      </c>
      <c r="B40" s="214"/>
      <c r="C40" s="68">
        <f>SUM(C38:C39)</f>
        <v>1082582.0300000003</v>
      </c>
      <c r="D40" s="195"/>
    </row>
    <row r="41" spans="1:4" s="15" customFormat="1" ht="15" customHeight="1">
      <c r="A41" s="32" t="s">
        <v>263</v>
      </c>
      <c r="B41" s="214">
        <f>'Earned Incurred YTD-p6'!B41</f>
        <v>305437.57999999996</v>
      </c>
      <c r="C41" s="68"/>
      <c r="D41" s="195"/>
    </row>
    <row r="42" spans="1:4" s="15" customFormat="1" ht="15" customHeight="1">
      <c r="A42" s="32" t="s">
        <v>142</v>
      </c>
      <c r="B42" s="215">
        <f>'[7]Earned Incurred QTD-p5'!$B$41</f>
        <v>309880.65</v>
      </c>
      <c r="C42" s="68" t="s">
        <v>187</v>
      </c>
      <c r="D42" s="195"/>
    </row>
    <row r="43" spans="1:4" s="15" customFormat="1" ht="15" customHeight="1">
      <c r="A43" s="32" t="s">
        <v>124</v>
      </c>
      <c r="B43" s="214"/>
      <c r="C43" s="186">
        <f>B41-B42</f>
        <v>-4443.070000000065</v>
      </c>
      <c r="D43" s="195"/>
    </row>
    <row r="44" spans="1:4" s="15" customFormat="1" ht="15" customHeight="1">
      <c r="A44" s="31" t="s">
        <v>167</v>
      </c>
      <c r="B44" s="214"/>
      <c r="C44" s="68"/>
      <c r="D44" s="197">
        <f>SUM(C40:C43)</f>
        <v>1078138.9600000002</v>
      </c>
    </row>
    <row r="45" spans="1:4" s="15" customFormat="1" ht="15" customHeight="1">
      <c r="A45" s="90" t="s">
        <v>128</v>
      </c>
      <c r="B45" s="214"/>
      <c r="C45" s="68"/>
      <c r="D45" s="196">
        <f>SUM(D36:D44)+1</f>
        <v>1600895.4100000001</v>
      </c>
    </row>
    <row r="46" spans="1:4" s="15" customFormat="1" ht="15" customHeight="1">
      <c r="A46" s="31" t="s">
        <v>129</v>
      </c>
      <c r="B46" s="214"/>
      <c r="C46" s="68"/>
      <c r="D46" s="436">
        <f>+D31+D45-1</f>
        <v>5001651.775</v>
      </c>
    </row>
    <row r="47" spans="1:5" s="15" customFormat="1" ht="15" customHeight="1">
      <c r="A47" s="31" t="s">
        <v>28</v>
      </c>
      <c r="B47" s="214"/>
      <c r="C47" s="68"/>
      <c r="D47" s="324">
        <f>D16-D46</f>
        <v>-24602.775000000373</v>
      </c>
      <c r="E47" s="449"/>
    </row>
    <row r="48" spans="1:4" s="15" customFormat="1" ht="15" customHeight="1">
      <c r="A48" s="91" t="s">
        <v>153</v>
      </c>
      <c r="B48" s="214"/>
      <c r="C48" s="68">
        <f>-'[6]3Q03 TRIAL BALANCE'!D229-C51</f>
        <v>31453.229999999996</v>
      </c>
      <c r="D48" s="325"/>
    </row>
    <row r="49" spans="1:4" s="15" customFormat="1" ht="15" customHeight="1">
      <c r="A49" s="91" t="s">
        <v>271</v>
      </c>
      <c r="B49" s="214">
        <f>'Earned Incurred YTD-p6'!B49</f>
        <v>6721.74</v>
      </c>
      <c r="C49" s="68"/>
      <c r="D49" s="325"/>
    </row>
    <row r="50" spans="1:4" s="15" customFormat="1" ht="15" customHeight="1">
      <c r="A50" s="91" t="s">
        <v>272</v>
      </c>
      <c r="B50" s="215">
        <f>'[7]Earned Incurred QTD-p5'!$B$49</f>
        <v>11315.82</v>
      </c>
      <c r="C50" s="68"/>
      <c r="D50" s="325"/>
    </row>
    <row r="51" spans="1:4" s="15" customFormat="1" ht="15" customHeight="1">
      <c r="A51" s="91" t="s">
        <v>273</v>
      </c>
      <c r="B51" s="214"/>
      <c r="C51" s="186">
        <f>B49-B50</f>
        <v>-4594.08</v>
      </c>
      <c r="D51" s="325"/>
    </row>
    <row r="52" spans="1:4" s="15" customFormat="1" ht="15" customHeight="1">
      <c r="A52" s="90" t="s">
        <v>154</v>
      </c>
      <c r="B52" s="214"/>
      <c r="C52" s="68"/>
      <c r="D52" s="219">
        <f>C48+C51</f>
        <v>26859.149999999994</v>
      </c>
    </row>
    <row r="53" spans="1:4" s="15" customFormat="1" ht="15" customHeight="1">
      <c r="A53" s="88"/>
      <c r="B53" s="214"/>
      <c r="C53" s="68"/>
      <c r="D53" s="206"/>
    </row>
    <row r="54" spans="1:4" s="15" customFormat="1" ht="15" customHeight="1">
      <c r="A54" s="92" t="s">
        <v>29</v>
      </c>
      <c r="B54" s="215"/>
      <c r="C54" s="186"/>
      <c r="D54" s="448">
        <f>D47+D52</f>
        <v>2256.3749999996217</v>
      </c>
    </row>
    <row r="55" spans="1:4" s="15" customFormat="1" ht="15" customHeight="1">
      <c r="A55" s="66"/>
      <c r="B55" s="202"/>
      <c r="C55" s="187"/>
      <c r="D55" s="349"/>
    </row>
    <row r="56" spans="1:4" s="15" customFormat="1" ht="15" customHeight="1">
      <c r="A56" s="66"/>
      <c r="B56" s="202"/>
      <c r="C56" s="187"/>
      <c r="D56" s="457"/>
    </row>
    <row r="57" spans="1:4" s="15" customFormat="1" ht="15" customHeight="1">
      <c r="A57" s="66"/>
      <c r="B57" s="202"/>
      <c r="C57" s="200"/>
      <c r="D57" s="68"/>
    </row>
    <row r="58" spans="1:4" s="15" customFormat="1" ht="15" customHeight="1">
      <c r="A58" s="66"/>
      <c r="B58" s="202"/>
      <c r="C58" s="187"/>
      <c r="D58" s="68"/>
    </row>
    <row r="59" spans="2:4" s="15" customFormat="1" ht="15" customHeight="1">
      <c r="B59" s="202"/>
      <c r="C59" s="187"/>
      <c r="D59" s="68"/>
    </row>
    <row r="60" spans="1:4" s="15" customFormat="1" ht="15" customHeight="1">
      <c r="A60" s="66"/>
      <c r="B60" s="202"/>
      <c r="C60" s="187"/>
      <c r="D60" s="68"/>
    </row>
    <row r="61" spans="1:4" s="15" customFormat="1" ht="15" customHeight="1">
      <c r="A61" s="66"/>
      <c r="B61" s="202"/>
      <c r="C61" s="187"/>
      <c r="D61" s="68"/>
    </row>
    <row r="62" spans="1:4" s="15" customFormat="1" ht="15" customHeight="1">
      <c r="A62" s="66"/>
      <c r="B62" s="70"/>
      <c r="C62" s="187"/>
      <c r="D62" s="68"/>
    </row>
    <row r="63" spans="1:4" s="15" customFormat="1" ht="15" customHeight="1">
      <c r="A63" s="34"/>
      <c r="B63" s="68"/>
      <c r="C63" s="200"/>
      <c r="D63" s="68"/>
    </row>
    <row r="64" spans="1:4" s="15" customFormat="1" ht="15" customHeight="1">
      <c r="A64" s="34"/>
      <c r="B64" s="68"/>
      <c r="C64" s="68"/>
      <c r="D64" s="68"/>
    </row>
    <row r="65" spans="1:4" s="15" customFormat="1" ht="15" customHeight="1">
      <c r="A65" s="34"/>
      <c r="B65" s="68"/>
      <c r="C65" s="68"/>
      <c r="D65" s="68"/>
    </row>
    <row r="66" spans="1:4" s="15" customFormat="1" ht="15" customHeight="1">
      <c r="A66" s="34"/>
      <c r="B66" s="68"/>
      <c r="C66" s="68"/>
      <c r="D66" s="68"/>
    </row>
    <row r="67" spans="1:4" s="15" customFormat="1" ht="15" customHeight="1">
      <c r="A67" s="34"/>
      <c r="B67" s="68"/>
      <c r="C67" s="68"/>
      <c r="D67" s="68"/>
    </row>
    <row r="68" spans="1:4" s="15" customFormat="1" ht="15" customHeight="1">
      <c r="A68" s="34"/>
      <c r="B68" s="68"/>
      <c r="C68" s="68"/>
      <c r="D68" s="68"/>
    </row>
    <row r="69" spans="1:4" s="15" customFormat="1" ht="15" customHeight="1">
      <c r="A69" s="34"/>
      <c r="B69" s="68"/>
      <c r="C69" s="68"/>
      <c r="D69" s="68"/>
    </row>
    <row r="70" spans="1:4" s="15" customFormat="1" ht="15" customHeight="1">
      <c r="A70" s="34"/>
      <c r="B70" s="68"/>
      <c r="C70" s="68"/>
      <c r="D70" s="68"/>
    </row>
    <row r="71" spans="1:4" s="15" customFormat="1" ht="15" customHeight="1">
      <c r="A71" s="34"/>
      <c r="B71" s="68"/>
      <c r="C71" s="68"/>
      <c r="D71" s="68"/>
    </row>
    <row r="72" spans="1:4" s="15" customFormat="1" ht="15" customHeight="1">
      <c r="A72" s="34"/>
      <c r="B72" s="68"/>
      <c r="C72" s="68"/>
      <c r="D72" s="68"/>
    </row>
    <row r="73" spans="1:4" s="15" customFormat="1" ht="15" customHeight="1">
      <c r="A73" s="34"/>
      <c r="B73" s="68"/>
      <c r="C73" s="68"/>
      <c r="D73" s="68"/>
    </row>
    <row r="74" spans="1:4" s="15" customFormat="1" ht="15" customHeight="1">
      <c r="A74" s="34"/>
      <c r="B74" s="68"/>
      <c r="C74" s="68"/>
      <c r="D74" s="68"/>
    </row>
    <row r="75" spans="1:4" s="15" customFormat="1" ht="15" customHeight="1">
      <c r="A75" s="34"/>
      <c r="B75" s="68"/>
      <c r="C75" s="68"/>
      <c r="D75" s="68"/>
    </row>
    <row r="76" spans="1:4" s="15" customFormat="1" ht="15" customHeight="1">
      <c r="A76" s="34"/>
      <c r="B76" s="68"/>
      <c r="C76" s="68"/>
      <c r="D76" s="68"/>
    </row>
    <row r="77" spans="1:4" s="15" customFormat="1" ht="15" customHeight="1">
      <c r="A77" s="34"/>
      <c r="B77" s="68"/>
      <c r="C77" s="68"/>
      <c r="D77" s="68"/>
    </row>
    <row r="78" spans="1:4" s="15" customFormat="1" ht="15" customHeight="1">
      <c r="A78" s="34"/>
      <c r="B78" s="68"/>
      <c r="C78" s="68"/>
      <c r="D78" s="68"/>
    </row>
    <row r="79" spans="1:4" s="15" customFormat="1" ht="15" customHeight="1">
      <c r="A79" s="34"/>
      <c r="B79" s="68"/>
      <c r="C79" s="70"/>
      <c r="D79" s="70"/>
    </row>
    <row r="80" spans="1:4" s="15" customFormat="1" ht="15" customHeight="1">
      <c r="A80" s="34"/>
      <c r="B80" s="68"/>
      <c r="C80" s="70"/>
      <c r="D80" s="70"/>
    </row>
    <row r="81" spans="1:4" s="15" customFormat="1" ht="15" customHeight="1">
      <c r="A81" s="34"/>
      <c r="B81" s="68"/>
      <c r="C81" s="70"/>
      <c r="D81" s="70"/>
    </row>
    <row r="82" spans="1:4" s="15" customFormat="1" ht="15" customHeight="1">
      <c r="A82" s="34"/>
      <c r="B82" s="70"/>
      <c r="C82" s="70"/>
      <c r="D82" s="70"/>
    </row>
    <row r="83" spans="1:4" s="15" customFormat="1" ht="15" customHeight="1">
      <c r="A83" s="34"/>
      <c r="B83" s="70"/>
      <c r="C83" s="70"/>
      <c r="D83" s="70"/>
    </row>
    <row r="84" spans="1:4" s="15" customFormat="1" ht="15" customHeight="1">
      <c r="A84" s="34"/>
      <c r="B84" s="70"/>
      <c r="C84" s="70"/>
      <c r="D84" s="70"/>
    </row>
    <row r="85" spans="1:4" s="15" customFormat="1" ht="15" customHeight="1">
      <c r="A85" s="34"/>
      <c r="B85" s="70"/>
      <c r="C85" s="70"/>
      <c r="D85" s="70"/>
    </row>
    <row r="86" spans="1:4" s="15" customFormat="1" ht="15" customHeight="1">
      <c r="A86" s="34"/>
      <c r="B86" s="70"/>
      <c r="C86" s="70"/>
      <c r="D86" s="70"/>
    </row>
    <row r="87" spans="1:4" s="15" customFormat="1" ht="15" customHeight="1">
      <c r="A87" s="34"/>
      <c r="B87" s="70"/>
      <c r="C87" s="70"/>
      <c r="D87" s="70"/>
    </row>
    <row r="88" spans="1:4" s="15" customFormat="1" ht="15" customHeight="1">
      <c r="A88" s="34"/>
      <c r="B88" s="70"/>
      <c r="C88" s="70"/>
      <c r="D88" s="70"/>
    </row>
    <row r="89" spans="1:4" s="15" customFormat="1" ht="15" customHeight="1">
      <c r="A89" s="34"/>
      <c r="B89" s="70"/>
      <c r="C89" s="70"/>
      <c r="D89" s="70"/>
    </row>
    <row r="90" spans="1:4" s="15" customFormat="1" ht="15" customHeight="1">
      <c r="A90" s="34"/>
      <c r="B90" s="70"/>
      <c r="C90" s="70"/>
      <c r="D90" s="70"/>
    </row>
    <row r="91" spans="1:4" s="15" customFormat="1" ht="15" customHeight="1">
      <c r="A91" s="34"/>
      <c r="B91" s="70"/>
      <c r="C91" s="70"/>
      <c r="D91" s="70"/>
    </row>
    <row r="92" spans="1:4" s="15" customFormat="1" ht="15" customHeight="1">
      <c r="A92" s="34"/>
      <c r="B92" s="70"/>
      <c r="C92" s="70"/>
      <c r="D92" s="70"/>
    </row>
    <row r="93" spans="1:4" s="15" customFormat="1" ht="15" customHeight="1">
      <c r="A93" s="34"/>
      <c r="B93" s="70"/>
      <c r="C93" s="70"/>
      <c r="D93" s="70"/>
    </row>
    <row r="94" spans="1:4" s="15" customFormat="1" ht="15" customHeight="1">
      <c r="A94" s="34"/>
      <c r="B94" s="70"/>
      <c r="C94" s="70"/>
      <c r="D94" s="70"/>
    </row>
    <row r="95" spans="1:4" s="15" customFormat="1" ht="15" customHeight="1">
      <c r="A95" s="34"/>
      <c r="B95" s="70"/>
      <c r="C95" s="70"/>
      <c r="D95" s="70"/>
    </row>
    <row r="96" spans="1:4" s="15" customFormat="1" ht="15" customHeight="1">
      <c r="A96" s="34"/>
      <c r="B96" s="70"/>
      <c r="C96" s="70"/>
      <c r="D96" s="70"/>
    </row>
    <row r="97" spans="1:4" s="15" customFormat="1" ht="15" customHeight="1">
      <c r="A97" s="34"/>
      <c r="B97" s="70"/>
      <c r="C97" s="70"/>
      <c r="D97" s="70"/>
    </row>
    <row r="98" spans="1:4" s="15" customFormat="1" ht="15" customHeight="1">
      <c r="A98" s="34"/>
      <c r="B98" s="70"/>
      <c r="C98" s="70"/>
      <c r="D98" s="70"/>
    </row>
    <row r="99" spans="1:4" s="15" customFormat="1" ht="15" customHeight="1">
      <c r="A99" s="34"/>
      <c r="B99" s="70"/>
      <c r="C99" s="70"/>
      <c r="D99" s="70"/>
    </row>
    <row r="100" spans="1:4" s="15" customFormat="1" ht="15" customHeight="1">
      <c r="A100" s="34"/>
      <c r="B100" s="70"/>
      <c r="C100" s="70"/>
      <c r="D100" s="70"/>
    </row>
    <row r="101" spans="1:4" s="15" customFormat="1" ht="15" customHeight="1">
      <c r="A101" s="34"/>
      <c r="B101" s="70"/>
      <c r="C101" s="70"/>
      <c r="D101" s="70"/>
    </row>
    <row r="102" spans="1:4" s="15" customFormat="1" ht="15" customHeight="1">
      <c r="A102" s="34"/>
      <c r="B102" s="70"/>
      <c r="C102" s="70"/>
      <c r="D102" s="70"/>
    </row>
    <row r="103" spans="1:4" s="15" customFormat="1" ht="15" customHeight="1">
      <c r="A103" s="34"/>
      <c r="B103" s="70"/>
      <c r="C103" s="70"/>
      <c r="D103" s="70"/>
    </row>
    <row r="104" spans="1:4" s="15" customFormat="1" ht="15" customHeight="1">
      <c r="A104" s="34"/>
      <c r="B104" s="70"/>
      <c r="C104" s="70"/>
      <c r="D104" s="70"/>
    </row>
    <row r="105" spans="1:4" s="15" customFormat="1" ht="15" customHeight="1">
      <c r="A105" s="34"/>
      <c r="B105" s="70"/>
      <c r="C105" s="70"/>
      <c r="D105" s="70"/>
    </row>
    <row r="106" spans="1:4" s="15" customFormat="1" ht="15" customHeight="1">
      <c r="A106" s="34"/>
      <c r="B106" s="70"/>
      <c r="C106" s="70"/>
      <c r="D106" s="70"/>
    </row>
    <row r="107" spans="1:4" s="15" customFormat="1" ht="15" customHeight="1">
      <c r="A107" s="34"/>
      <c r="B107" s="70"/>
      <c r="C107" s="70"/>
      <c r="D107" s="70"/>
    </row>
    <row r="108" spans="1:4" s="15" customFormat="1" ht="15" customHeight="1">
      <c r="A108" s="34"/>
      <c r="B108" s="70"/>
      <c r="C108" s="70"/>
      <c r="D108" s="70"/>
    </row>
    <row r="109" spans="1:4" s="15" customFormat="1" ht="15" customHeight="1">
      <c r="A109" s="34"/>
      <c r="B109" s="70"/>
      <c r="C109" s="70"/>
      <c r="D109" s="70"/>
    </row>
    <row r="110" spans="1:4" s="15" customFormat="1" ht="15" customHeight="1">
      <c r="A110" s="34"/>
      <c r="B110" s="70"/>
      <c r="C110" s="70"/>
      <c r="D110" s="70"/>
    </row>
    <row r="111" spans="1:4" s="15" customFormat="1" ht="15" customHeight="1">
      <c r="A111" s="387"/>
      <c r="B111" s="70"/>
      <c r="C111" s="70"/>
      <c r="D111" s="70"/>
    </row>
    <row r="112" spans="1:4" s="15" customFormat="1" ht="15" customHeight="1">
      <c r="A112" s="387"/>
      <c r="B112" s="70"/>
      <c r="C112" s="70"/>
      <c r="D112" s="70"/>
    </row>
    <row r="113" spans="1:4" s="15" customFormat="1" ht="15" customHeight="1">
      <c r="A113" s="387"/>
      <c r="B113" s="70"/>
      <c r="C113" s="70"/>
      <c r="D113" s="70"/>
    </row>
    <row r="114" spans="1:4" s="15" customFormat="1" ht="15" customHeight="1">
      <c r="A114" s="387"/>
      <c r="B114" s="70"/>
      <c r="C114" s="70"/>
      <c r="D114" s="70"/>
    </row>
    <row r="115" spans="1:4" s="15" customFormat="1" ht="15" customHeight="1">
      <c r="A115" s="387"/>
      <c r="B115" s="70"/>
      <c r="C115" s="70"/>
      <c r="D115" s="70"/>
    </row>
    <row r="116" spans="1:4" s="15" customFormat="1" ht="15" customHeight="1">
      <c r="A116" s="387"/>
      <c r="B116" s="70"/>
      <c r="C116" s="70"/>
      <c r="D116" s="70"/>
    </row>
    <row r="117" spans="1:4" s="15" customFormat="1" ht="15" customHeight="1">
      <c r="A117" s="387"/>
      <c r="B117" s="70"/>
      <c r="C117" s="70"/>
      <c r="D117" s="70"/>
    </row>
    <row r="118" spans="1:4" s="15" customFormat="1" ht="15" customHeight="1">
      <c r="A118" s="387"/>
      <c r="B118" s="70"/>
      <c r="C118" s="70"/>
      <c r="D118" s="70"/>
    </row>
    <row r="119" spans="1:4" s="15" customFormat="1" ht="15" customHeight="1">
      <c r="A119" s="387"/>
      <c r="B119" s="70"/>
      <c r="C119" s="70"/>
      <c r="D119" s="70"/>
    </row>
    <row r="120" spans="1:4" s="15" customFormat="1" ht="15" customHeight="1">
      <c r="A120" s="387"/>
      <c r="B120" s="70"/>
      <c r="C120" s="70"/>
      <c r="D120" s="70"/>
    </row>
    <row r="121" spans="1:4" s="15" customFormat="1" ht="15" customHeight="1">
      <c r="A121" s="387"/>
      <c r="B121" s="70"/>
      <c r="C121" s="70"/>
      <c r="D121" s="70"/>
    </row>
    <row r="122" spans="1:4" s="15" customFormat="1" ht="15" customHeight="1">
      <c r="A122" s="387"/>
      <c r="B122" s="70"/>
      <c r="C122" s="70"/>
      <c r="D122" s="70"/>
    </row>
    <row r="123" spans="1:4" s="15" customFormat="1" ht="15" customHeight="1">
      <c r="A123" s="387"/>
      <c r="B123" s="70"/>
      <c r="C123" s="70"/>
      <c r="D123" s="70"/>
    </row>
    <row r="124" spans="1:4" s="15" customFormat="1" ht="15" customHeight="1">
      <c r="A124" s="387"/>
      <c r="B124" s="70"/>
      <c r="C124" s="70"/>
      <c r="D124" s="70"/>
    </row>
    <row r="125" spans="1:4" s="15" customFormat="1" ht="15" customHeight="1">
      <c r="A125" s="387"/>
      <c r="B125" s="70"/>
      <c r="C125" s="70"/>
      <c r="D125" s="70"/>
    </row>
    <row r="126" spans="1:4" s="15" customFormat="1" ht="15" customHeight="1">
      <c r="A126" s="387"/>
      <c r="B126" s="70"/>
      <c r="C126" s="70"/>
      <c r="D126" s="70"/>
    </row>
    <row r="127" spans="1:4" s="15" customFormat="1" ht="15" customHeight="1">
      <c r="A127" s="387"/>
      <c r="B127" s="70"/>
      <c r="C127" s="70"/>
      <c r="D127" s="70"/>
    </row>
    <row r="128" spans="1:4" s="15" customFormat="1" ht="15" customHeight="1">
      <c r="A128" s="387"/>
      <c r="B128" s="70"/>
      <c r="C128" s="70"/>
      <c r="D128" s="70"/>
    </row>
    <row r="129" spans="1:4" s="15" customFormat="1" ht="15" customHeight="1">
      <c r="A129" s="387"/>
      <c r="B129" s="70"/>
      <c r="C129" s="70"/>
      <c r="D129" s="70"/>
    </row>
    <row r="130" spans="1:4" s="15" customFormat="1" ht="15" customHeight="1">
      <c r="A130" s="387"/>
      <c r="B130" s="70"/>
      <c r="C130" s="70"/>
      <c r="D130" s="70"/>
    </row>
    <row r="131" spans="1:4" s="15" customFormat="1" ht="15" customHeight="1">
      <c r="A131" s="387"/>
      <c r="B131" s="70"/>
      <c r="C131" s="70"/>
      <c r="D131" s="70"/>
    </row>
    <row r="132" spans="1:4" s="15" customFormat="1" ht="15" customHeight="1">
      <c r="A132" s="387"/>
      <c r="B132" s="70"/>
      <c r="C132" s="70"/>
      <c r="D132" s="70"/>
    </row>
    <row r="133" spans="1:4" s="15" customFormat="1" ht="15" customHeight="1">
      <c r="A133" s="387"/>
      <c r="B133" s="70"/>
      <c r="C133" s="70"/>
      <c r="D133" s="70"/>
    </row>
    <row r="134" spans="1:4" s="15" customFormat="1" ht="15" customHeight="1">
      <c r="A134" s="387"/>
      <c r="B134" s="70"/>
      <c r="C134" s="70"/>
      <c r="D134" s="70"/>
    </row>
    <row r="135" spans="1:4" s="15" customFormat="1" ht="15" customHeight="1">
      <c r="A135" s="387"/>
      <c r="B135" s="70"/>
      <c r="C135" s="70"/>
      <c r="D135" s="70"/>
    </row>
    <row r="136" spans="1:4" s="15" customFormat="1" ht="15" customHeight="1">
      <c r="A136" s="387"/>
      <c r="B136" s="70"/>
      <c r="C136" s="70"/>
      <c r="D136" s="70"/>
    </row>
    <row r="137" spans="1:4" s="15" customFormat="1" ht="15" customHeight="1">
      <c r="A137" s="387"/>
      <c r="B137" s="70"/>
      <c r="C137" s="70"/>
      <c r="D137" s="70"/>
    </row>
    <row r="138" spans="1:4" s="15" customFormat="1" ht="15" customHeight="1">
      <c r="A138" s="387"/>
      <c r="B138" s="70"/>
      <c r="C138" s="70"/>
      <c r="D138" s="70"/>
    </row>
    <row r="139" spans="1:4" s="15" customFormat="1" ht="15" customHeight="1">
      <c r="A139" s="387"/>
      <c r="B139" s="70"/>
      <c r="C139" s="70"/>
      <c r="D139" s="70"/>
    </row>
    <row r="140" spans="1:4" s="15" customFormat="1" ht="15" customHeight="1">
      <c r="A140" s="387"/>
      <c r="B140" s="70"/>
      <c r="C140" s="70"/>
      <c r="D140" s="70"/>
    </row>
    <row r="141" spans="1:4" s="15" customFormat="1" ht="15" customHeight="1">
      <c r="A141" s="387"/>
      <c r="B141" s="70"/>
      <c r="C141" s="70"/>
      <c r="D141" s="70"/>
    </row>
    <row r="142" spans="1:4" s="15" customFormat="1" ht="15" customHeight="1">
      <c r="A142" s="387"/>
      <c r="B142" s="70"/>
      <c r="C142" s="70"/>
      <c r="D142" s="70"/>
    </row>
    <row r="143" spans="1:4" s="15" customFormat="1" ht="15" customHeight="1">
      <c r="A143" s="387"/>
      <c r="B143" s="70"/>
      <c r="C143" s="70"/>
      <c r="D143" s="70"/>
    </row>
    <row r="144" spans="1:4" s="15" customFormat="1" ht="15" customHeight="1">
      <c r="A144" s="387"/>
      <c r="B144" s="70"/>
      <c r="C144" s="70"/>
      <c r="D144" s="70"/>
    </row>
    <row r="145" spans="1:4" s="15" customFormat="1" ht="15" customHeight="1">
      <c r="A145" s="387"/>
      <c r="B145" s="70"/>
      <c r="C145" s="70"/>
      <c r="D145" s="70"/>
    </row>
    <row r="146" spans="1:4" s="15" customFormat="1" ht="15" customHeight="1">
      <c r="A146" s="387"/>
      <c r="B146" s="70"/>
      <c r="C146" s="70"/>
      <c r="D146" s="70"/>
    </row>
    <row r="147" spans="1:4" s="15" customFormat="1" ht="15" customHeight="1">
      <c r="A147" s="387"/>
      <c r="B147" s="70"/>
      <c r="C147" s="70"/>
      <c r="D147" s="70"/>
    </row>
    <row r="148" spans="1:4" s="15" customFormat="1" ht="15" customHeight="1">
      <c r="A148" s="387"/>
      <c r="B148" s="70"/>
      <c r="C148" s="70"/>
      <c r="D148" s="70"/>
    </row>
    <row r="149" spans="1:4" s="15" customFormat="1" ht="15" customHeight="1">
      <c r="A149" s="387"/>
      <c r="B149" s="70"/>
      <c r="C149" s="70"/>
      <c r="D149" s="70"/>
    </row>
    <row r="150" spans="1:4" s="15" customFormat="1" ht="15" customHeight="1">
      <c r="A150" s="387"/>
      <c r="B150" s="70"/>
      <c r="C150" s="70"/>
      <c r="D150" s="70"/>
    </row>
    <row r="151" spans="1:4" s="15" customFormat="1" ht="15" customHeight="1">
      <c r="A151" s="387"/>
      <c r="B151" s="70"/>
      <c r="C151" s="70"/>
      <c r="D151" s="70"/>
    </row>
    <row r="152" spans="2:4" s="15" customFormat="1" ht="15" customHeight="1">
      <c r="B152" s="70"/>
      <c r="C152" s="70"/>
      <c r="D152" s="70"/>
    </row>
    <row r="153" spans="2:4" s="15" customFormat="1" ht="15" customHeight="1">
      <c r="B153" s="70"/>
      <c r="C153" s="70"/>
      <c r="D153" s="70"/>
    </row>
    <row r="154" spans="2:4" s="15" customFormat="1" ht="15" customHeight="1">
      <c r="B154" s="70"/>
      <c r="C154" s="70"/>
      <c r="D154" s="70"/>
    </row>
  </sheetData>
  <mergeCells count="5">
    <mergeCell ref="A5:D5"/>
    <mergeCell ref="A1:D1"/>
    <mergeCell ref="A2:D2"/>
    <mergeCell ref="A3:D3"/>
    <mergeCell ref="A4:D4"/>
  </mergeCells>
  <printOptions horizontalCentered="1"/>
  <pageMargins left="0.5" right="0.5" top="0.75" bottom="0.5" header="0.5" footer="0"/>
  <pageSetup horizontalDpi="600" verticalDpi="600" orientation="portrait" scale="80" r:id="rId1"/>
  <headerFooter alignWithMargins="0">
    <oddFooter>&amp;CPage 5
</oddFooter>
  </headerFooter>
</worksheet>
</file>

<file path=xl/worksheets/sheet7.xml><?xml version="1.0" encoding="utf-8"?>
<worksheet xmlns="http://schemas.openxmlformats.org/spreadsheetml/2006/main" xmlns:r="http://schemas.openxmlformats.org/officeDocument/2006/relationships">
  <dimension ref="A1:D61"/>
  <sheetViews>
    <sheetView zoomScale="75" zoomScaleNormal="75" workbookViewId="0" topLeftCell="A1">
      <selection activeCell="H24" sqref="H24"/>
    </sheetView>
  </sheetViews>
  <sheetFormatPr defaultColWidth="9.140625" defaultRowHeight="12.75"/>
  <cols>
    <col min="1" max="1" width="55.7109375" style="19" customWidth="1"/>
    <col min="2" max="2" width="16.7109375" style="188" customWidth="1"/>
    <col min="3" max="3" width="15.140625" style="188" customWidth="1"/>
    <col min="4" max="4" width="22.57421875" style="188" customWidth="1"/>
    <col min="5" max="16384" width="9.140625" style="19" customWidth="1"/>
  </cols>
  <sheetData>
    <row r="1" spans="1:4" s="112" customFormat="1" ht="27" customHeight="1">
      <c r="A1" s="473" t="s">
        <v>177</v>
      </c>
      <c r="B1" s="474"/>
      <c r="C1" s="474"/>
      <c r="D1" s="475"/>
    </row>
    <row r="2" spans="1:4" s="30" customFormat="1" ht="18" customHeight="1">
      <c r="A2" s="476"/>
      <c r="B2" s="465"/>
      <c r="C2" s="465"/>
      <c r="D2" s="477"/>
    </row>
    <row r="3" spans="1:4" s="30" customFormat="1" ht="15.75">
      <c r="A3" s="471" t="s">
        <v>166</v>
      </c>
      <c r="B3" s="467"/>
      <c r="C3" s="467"/>
      <c r="D3" s="472"/>
    </row>
    <row r="4" spans="1:4" s="30" customFormat="1" ht="15.75">
      <c r="A4" s="471" t="s">
        <v>241</v>
      </c>
      <c r="B4" s="467"/>
      <c r="C4" s="467"/>
      <c r="D4" s="472"/>
    </row>
    <row r="5" spans="1:4" s="30" customFormat="1" ht="15.75">
      <c r="A5" s="471" t="s">
        <v>131</v>
      </c>
      <c r="B5" s="467"/>
      <c r="C5" s="467"/>
      <c r="D5" s="472"/>
    </row>
    <row r="6" spans="1:4" s="30" customFormat="1" ht="15" customHeight="1">
      <c r="A6" s="105"/>
      <c r="B6" s="161"/>
      <c r="C6" s="161"/>
      <c r="D6" s="192"/>
    </row>
    <row r="7" spans="1:4" s="15" customFormat="1" ht="15" customHeight="1">
      <c r="A7" s="106"/>
      <c r="B7" s="161"/>
      <c r="C7" s="161"/>
      <c r="D7" s="192"/>
    </row>
    <row r="8" spans="1:4" s="15" customFormat="1" ht="15">
      <c r="A8" s="107" t="s">
        <v>242</v>
      </c>
      <c r="B8" s="184" t="s">
        <v>138</v>
      </c>
      <c r="C8" s="189"/>
      <c r="D8" s="193"/>
    </row>
    <row r="9" spans="1:4" s="15" customFormat="1" ht="15">
      <c r="A9" s="107"/>
      <c r="B9" s="185" t="s">
        <v>24</v>
      </c>
      <c r="C9" s="190"/>
      <c r="D9" s="194"/>
    </row>
    <row r="10" spans="1:4" s="15" customFormat="1" ht="15" customHeight="1">
      <c r="A10" s="89"/>
      <c r="B10" s="213" t="s">
        <v>187</v>
      </c>
      <c r="C10" s="217"/>
      <c r="D10" s="218"/>
    </row>
    <row r="11" spans="1:4" s="15" customFormat="1" ht="15" customHeight="1">
      <c r="A11" s="90" t="s">
        <v>243</v>
      </c>
      <c r="B11" s="214"/>
      <c r="C11" s="433">
        <f>'Premiums YTD-p8'!G11</f>
        <v>15762113</v>
      </c>
      <c r="D11" s="195"/>
    </row>
    <row r="12" spans="1:4" s="15" customFormat="1" ht="15" customHeight="1">
      <c r="A12" s="90"/>
      <c r="B12" s="214"/>
      <c r="C12" s="84"/>
      <c r="D12" s="195"/>
    </row>
    <row r="13" spans="1:4" s="15" customFormat="1" ht="15" customHeight="1">
      <c r="A13" s="91" t="s">
        <v>244</v>
      </c>
      <c r="B13" s="214">
        <f>'Premiums YTD-p8'!G17</f>
        <v>10606891</v>
      </c>
      <c r="C13" s="68"/>
      <c r="D13" s="195"/>
    </row>
    <row r="14" spans="1:4" s="15" customFormat="1" ht="15" customHeight="1">
      <c r="A14" s="91" t="s">
        <v>245</v>
      </c>
      <c r="B14" s="215">
        <f>'Premiums YTD-p8'!G23</f>
        <v>8897126</v>
      </c>
      <c r="C14" s="68"/>
      <c r="D14" s="195"/>
    </row>
    <row r="15" spans="1:4" s="15" customFormat="1" ht="15" customHeight="1">
      <c r="A15" s="91" t="s">
        <v>246</v>
      </c>
      <c r="B15" s="214"/>
      <c r="C15" s="186">
        <f>B14-B13</f>
        <v>-1709765</v>
      </c>
      <c r="D15" s="195"/>
    </row>
    <row r="16" spans="1:4" s="15" customFormat="1" ht="15" customHeight="1">
      <c r="A16" s="90" t="s">
        <v>247</v>
      </c>
      <c r="B16" s="214"/>
      <c r="C16" s="68"/>
      <c r="D16" s="434">
        <f>C11+C15</f>
        <v>14052348</v>
      </c>
    </row>
    <row r="17" spans="1:4" s="15" customFormat="1" ht="15" customHeight="1">
      <c r="A17" s="91" t="s">
        <v>248</v>
      </c>
      <c r="B17" s="214"/>
      <c r="C17" s="68">
        <f>'[6]3Q03 TRIAL BALANCE'!F244+1</f>
        <v>9562886.48</v>
      </c>
      <c r="D17" s="195"/>
    </row>
    <row r="18" spans="1:4" s="15" customFormat="1" ht="15" customHeight="1">
      <c r="A18" s="91" t="s">
        <v>38</v>
      </c>
      <c r="B18" s="214"/>
      <c r="C18" s="186">
        <f>-'[6]3Q03 TRIAL BALANCE'!F256</f>
        <v>126370.03000000001</v>
      </c>
      <c r="D18" s="195"/>
    </row>
    <row r="19" spans="1:4" s="15" customFormat="1" ht="15" customHeight="1">
      <c r="A19" s="90" t="s">
        <v>249</v>
      </c>
      <c r="B19" s="214"/>
      <c r="C19" s="68">
        <f>C17-C18</f>
        <v>9436516.450000001</v>
      </c>
      <c r="D19" s="195"/>
    </row>
    <row r="20" spans="1:4" s="15" customFormat="1" ht="15" customHeight="1">
      <c r="A20" s="91" t="s">
        <v>250</v>
      </c>
      <c r="B20" s="214">
        <f>'Losses Incurred YTD-p10'!G18</f>
        <v>6234014.28</v>
      </c>
      <c r="C20" s="68" t="s">
        <v>187</v>
      </c>
      <c r="D20" s="195"/>
    </row>
    <row r="21" spans="1:4" s="15" customFormat="1" ht="15" customHeight="1">
      <c r="A21" s="91" t="s">
        <v>251</v>
      </c>
      <c r="B21" s="215">
        <f>'Losses Incurred YTD-p10'!G24</f>
        <v>5587476.6899999995</v>
      </c>
      <c r="C21" s="68"/>
      <c r="D21" s="195"/>
    </row>
    <row r="22" spans="1:4" s="15" customFormat="1" ht="15" customHeight="1">
      <c r="A22" s="91" t="s">
        <v>252</v>
      </c>
      <c r="B22" s="216"/>
      <c r="C22" s="186">
        <f>B20-B21-1</f>
        <v>646536.5900000008</v>
      </c>
      <c r="D22" s="195"/>
    </row>
    <row r="23" spans="1:4" s="15" customFormat="1" ht="15" customHeight="1">
      <c r="A23" s="90" t="s">
        <v>253</v>
      </c>
      <c r="B23" s="214"/>
      <c r="C23" s="68"/>
      <c r="D23" s="195">
        <f>C19+C22</f>
        <v>10083053.040000003</v>
      </c>
    </row>
    <row r="24" spans="1:4" s="15" customFormat="1" ht="15" customHeight="1">
      <c r="A24" s="91" t="s">
        <v>254</v>
      </c>
      <c r="B24" s="214"/>
      <c r="C24" s="68">
        <f>'[6]3Q03 TRIAL BALANCE'!F309</f>
        <v>801630.0299999999</v>
      </c>
      <c r="D24" s="195"/>
    </row>
    <row r="25" spans="1:4" s="15" customFormat="1" ht="15" customHeight="1">
      <c r="A25" s="91" t="s">
        <v>255</v>
      </c>
      <c r="B25" s="214"/>
      <c r="C25" s="186">
        <f>'[6]3Q03 TRIAL BALANCE'!F333</f>
        <v>352245.69</v>
      </c>
      <c r="D25" s="195"/>
    </row>
    <row r="26" spans="1:4" s="15" customFormat="1" ht="15" customHeight="1">
      <c r="A26" s="90" t="s">
        <v>256</v>
      </c>
      <c r="B26" s="214"/>
      <c r="C26" s="68">
        <f>C24+C25</f>
        <v>1153875.72</v>
      </c>
      <c r="D26" s="195"/>
    </row>
    <row r="27" spans="1:4" s="15" customFormat="1" ht="15" customHeight="1">
      <c r="A27" s="91" t="s">
        <v>257</v>
      </c>
      <c r="B27" s="214">
        <f>'Loss Expenses YTD-p12'!G18</f>
        <v>524724.25</v>
      </c>
      <c r="C27" s="68"/>
      <c r="D27" s="195"/>
    </row>
    <row r="28" spans="1:4" s="15" customFormat="1" ht="15" customHeight="1">
      <c r="A28" s="91" t="s">
        <v>258</v>
      </c>
      <c r="B28" s="215">
        <f>'Loss Expenses YTD-p12'!G24</f>
        <v>474837.22</v>
      </c>
      <c r="C28" s="68"/>
      <c r="D28" s="195"/>
    </row>
    <row r="29" spans="1:4" s="15" customFormat="1" ht="15" customHeight="1">
      <c r="A29" s="91" t="s">
        <v>259</v>
      </c>
      <c r="B29" s="214"/>
      <c r="C29" s="186">
        <f>B27-B28</f>
        <v>49887.03000000003</v>
      </c>
      <c r="D29" s="195"/>
    </row>
    <row r="30" spans="1:4" s="15" customFormat="1" ht="15" customHeight="1">
      <c r="A30" s="90" t="s">
        <v>260</v>
      </c>
      <c r="B30" s="214"/>
      <c r="C30" s="68"/>
      <c r="D30" s="197">
        <f>C26+C29</f>
        <v>1203762.75</v>
      </c>
    </row>
    <row r="31" spans="1:4" s="15" customFormat="1" ht="15" customHeight="1">
      <c r="A31" s="90" t="s">
        <v>261</v>
      </c>
      <c r="B31" s="214"/>
      <c r="C31" s="68"/>
      <c r="D31" s="455">
        <f>D23+D30</f>
        <v>11286815.790000003</v>
      </c>
    </row>
    <row r="32" spans="1:4" s="15" customFormat="1" ht="15" customHeight="1">
      <c r="A32" s="91" t="s">
        <v>262</v>
      </c>
      <c r="B32" s="214"/>
      <c r="C32" s="68">
        <f>23108.63+6478.27+20347.1+31050</f>
        <v>80984</v>
      </c>
      <c r="D32" s="195"/>
    </row>
    <row r="33" spans="1:4" s="15" customFormat="1" ht="15" customHeight="1">
      <c r="A33" s="91" t="s">
        <v>263</v>
      </c>
      <c r="B33" s="214">
        <f>-'[6]3Q03 TRIAL BALANCE'!F126-'[6]3Q03 TRIAL BALANCE'!F128</f>
        <v>42827.65</v>
      </c>
      <c r="C33" s="68"/>
      <c r="D33" s="195"/>
    </row>
    <row r="34" spans="1:4" s="15" customFormat="1" ht="15" customHeight="1">
      <c r="A34" s="91" t="s">
        <v>264</v>
      </c>
      <c r="B34" s="215">
        <f>'[7]Earned Incurred YTD-p6'!$B$34</f>
        <v>46320</v>
      </c>
      <c r="C34" s="68" t="s">
        <v>187</v>
      </c>
      <c r="D34" s="195"/>
    </row>
    <row r="35" spans="1:4" s="15" customFormat="1" ht="15" customHeight="1">
      <c r="A35" s="91" t="s">
        <v>265</v>
      </c>
      <c r="B35" s="214"/>
      <c r="C35" s="186">
        <f>B33-B34</f>
        <v>-3492.3499999999985</v>
      </c>
      <c r="D35" s="195"/>
    </row>
    <row r="36" spans="1:4" s="15" customFormat="1" ht="15" customHeight="1">
      <c r="A36" s="90" t="s">
        <v>266</v>
      </c>
      <c r="B36" s="214"/>
      <c r="C36" s="68" t="s">
        <v>187</v>
      </c>
      <c r="D36" s="195">
        <f>SUM(C32:C35)</f>
        <v>77491.65</v>
      </c>
    </row>
    <row r="37" spans="1:4" s="15" customFormat="1" ht="15" customHeight="1">
      <c r="A37" s="91" t="s">
        <v>147</v>
      </c>
      <c r="B37" s="214"/>
      <c r="C37" s="65"/>
      <c r="D37" s="199">
        <f>'[6]3Q03 TRIAL BALANCE'!F367</f>
        <v>1421253.0999999999</v>
      </c>
    </row>
    <row r="38" spans="1:4" s="15" customFormat="1" ht="15" customHeight="1">
      <c r="A38" s="91" t="s">
        <v>168</v>
      </c>
      <c r="B38" s="214"/>
      <c r="C38" s="68">
        <f>'[6]3Q03 TRIAL BALANCE'!F370+'[6]3Q03 TRIAL BALANCE'!F372+'[6]3Q03 TRIAL BALANCE'!F380</f>
        <v>276480.87</v>
      </c>
      <c r="D38" s="195"/>
    </row>
    <row r="39" spans="1:4" s="15" customFormat="1" ht="15" customHeight="1">
      <c r="A39" s="91" t="s">
        <v>123</v>
      </c>
      <c r="B39" s="214"/>
      <c r="C39" s="191">
        <f>'[6]3Q03 TRIAL BALANCE'!F671-C43</f>
        <v>2930842.619999998</v>
      </c>
      <c r="D39" s="195"/>
    </row>
    <row r="40" spans="1:4" s="15" customFormat="1" ht="15" customHeight="1">
      <c r="A40" s="90" t="s">
        <v>127</v>
      </c>
      <c r="B40" s="450"/>
      <c r="C40" s="65">
        <f>SUM(C38:C39)+1</f>
        <v>3207324.489999998</v>
      </c>
      <c r="D40" s="451"/>
    </row>
    <row r="41" spans="1:4" s="15" customFormat="1" ht="15" customHeight="1">
      <c r="A41" s="91" t="s">
        <v>263</v>
      </c>
      <c r="B41" s="214">
        <f>-'[6]3Q03 TRIAL BALANCE'!$F$142</f>
        <v>305437.57999999996</v>
      </c>
      <c r="C41" s="68"/>
      <c r="D41" s="195"/>
    </row>
    <row r="42" spans="1:4" s="15" customFormat="1" ht="15" customHeight="1">
      <c r="A42" s="91" t="s">
        <v>142</v>
      </c>
      <c r="B42" s="215">
        <f>'[7]Earned Incurred YTD-p6'!$B$42</f>
        <v>356304.2</v>
      </c>
      <c r="C42" s="68" t="s">
        <v>187</v>
      </c>
      <c r="D42" s="195"/>
    </row>
    <row r="43" spans="1:4" s="15" customFormat="1" ht="15" customHeight="1">
      <c r="A43" s="91" t="s">
        <v>124</v>
      </c>
      <c r="B43" s="214"/>
      <c r="C43" s="186">
        <f>B41-B42+1</f>
        <v>-50865.62000000005</v>
      </c>
      <c r="D43" s="195"/>
    </row>
    <row r="44" spans="1:4" s="15" customFormat="1" ht="15" customHeight="1">
      <c r="A44" s="90" t="s">
        <v>167</v>
      </c>
      <c r="B44" s="214"/>
      <c r="C44" s="68"/>
      <c r="D44" s="197">
        <f>SUM(C40:C43)-1</f>
        <v>3156457.869999998</v>
      </c>
    </row>
    <row r="45" spans="1:4" s="15" customFormat="1" ht="15" customHeight="1">
      <c r="A45" s="90" t="s">
        <v>128</v>
      </c>
      <c r="B45" s="214"/>
      <c r="C45" s="68"/>
      <c r="D45" s="196">
        <f>SUM(D36:D44)</f>
        <v>4655202.619999997</v>
      </c>
    </row>
    <row r="46" spans="1:4" s="15" customFormat="1" ht="15" customHeight="1">
      <c r="A46" s="90" t="s">
        <v>129</v>
      </c>
      <c r="B46" s="214"/>
      <c r="C46" s="68"/>
      <c r="D46" s="456">
        <f>+D31+D45+1</f>
        <v>15942019.41</v>
      </c>
    </row>
    <row r="47" spans="1:4" s="15" customFormat="1" ht="15" customHeight="1">
      <c r="A47" s="90" t="s">
        <v>28</v>
      </c>
      <c r="B47" s="214"/>
      <c r="C47" s="68"/>
      <c r="D47" s="324">
        <f>D16-D46</f>
        <v>-1889671.4100000001</v>
      </c>
    </row>
    <row r="48" spans="1:4" s="15" customFormat="1" ht="15" customHeight="1">
      <c r="A48" s="91" t="s">
        <v>153</v>
      </c>
      <c r="B48" s="214"/>
      <c r="C48" s="68">
        <f>-'[6]3Q03 TRIAL BALANCE'!F229-C51</f>
        <v>98757.88</v>
      </c>
      <c r="D48" s="195"/>
    </row>
    <row r="49" spans="1:4" s="15" customFormat="1" ht="15" customHeight="1">
      <c r="A49" s="91" t="s">
        <v>271</v>
      </c>
      <c r="B49" s="214">
        <f>'[6]3Q03 TRIAL BALANCE'!F21</f>
        <v>6721.74</v>
      </c>
      <c r="C49" s="68"/>
      <c r="D49" s="195"/>
    </row>
    <row r="50" spans="1:4" s="15" customFormat="1" ht="15" customHeight="1">
      <c r="A50" s="91" t="s">
        <v>272</v>
      </c>
      <c r="B50" s="215">
        <f>'[7]Earned Incurred YTD-p6'!$B$50</f>
        <v>17083.95</v>
      </c>
      <c r="C50" s="68" t="s">
        <v>187</v>
      </c>
      <c r="D50" s="195"/>
    </row>
    <row r="51" spans="1:4" s="15" customFormat="1" ht="15" customHeight="1">
      <c r="A51" s="91" t="s">
        <v>273</v>
      </c>
      <c r="B51" s="214"/>
      <c r="C51" s="186">
        <f>B49-B50</f>
        <v>-10362.210000000001</v>
      </c>
      <c r="D51" s="198"/>
    </row>
    <row r="52" spans="1:4" s="15" customFormat="1" ht="15" customHeight="1">
      <c r="A52" s="90" t="s">
        <v>154</v>
      </c>
      <c r="B52" s="214"/>
      <c r="C52" s="68"/>
      <c r="D52" s="219">
        <f>C48+C51</f>
        <v>88395.67</v>
      </c>
    </row>
    <row r="53" spans="1:4" s="15" customFormat="1" ht="15" customHeight="1">
      <c r="A53" s="88"/>
      <c r="B53" s="214"/>
      <c r="C53" s="68"/>
      <c r="D53" s="198"/>
    </row>
    <row r="54" spans="1:4" s="15" customFormat="1" ht="15" customHeight="1">
      <c r="A54" s="92" t="s">
        <v>29</v>
      </c>
      <c r="B54" s="215"/>
      <c r="C54" s="186"/>
      <c r="D54" s="435">
        <f>D47+D52+1</f>
        <v>-1801274.7400000002</v>
      </c>
    </row>
    <row r="55" spans="1:4" ht="12.75">
      <c r="A55" s="35"/>
      <c r="D55" s="349"/>
    </row>
    <row r="56" spans="1:4" ht="12.75">
      <c r="A56" s="35"/>
      <c r="D56" s="457"/>
    </row>
    <row r="57" ht="12.75">
      <c r="A57" s="35"/>
    </row>
    <row r="58" ht="12.75">
      <c r="A58" s="35"/>
    </row>
    <row r="59" ht="12.75">
      <c r="A59" s="35"/>
    </row>
    <row r="60" ht="12.75">
      <c r="A60" s="35"/>
    </row>
    <row r="61" ht="12.75">
      <c r="A61" s="35"/>
    </row>
  </sheetData>
  <mergeCells count="5">
    <mergeCell ref="A5:D5"/>
    <mergeCell ref="A1:D1"/>
    <mergeCell ref="A2:D2"/>
    <mergeCell ref="A3:D3"/>
    <mergeCell ref="A4:D4"/>
  </mergeCells>
  <printOptions horizontalCentered="1"/>
  <pageMargins left="0.5" right="0.5" top="0.75" bottom="0.5" header="0.5" footer="0"/>
  <pageSetup horizontalDpi="600" verticalDpi="600" orientation="portrait" scale="80"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dimension ref="A1:T191"/>
  <sheetViews>
    <sheetView zoomScale="75" zoomScaleNormal="75" workbookViewId="0" topLeftCell="B1">
      <selection activeCell="H7" sqref="H7"/>
    </sheetView>
  </sheetViews>
  <sheetFormatPr defaultColWidth="9.140625" defaultRowHeight="12.75"/>
  <cols>
    <col min="1" max="1" width="40.00390625" style="1" bestFit="1" customWidth="1"/>
    <col min="2" max="7" width="17.7109375" style="338" customWidth="1"/>
    <col min="8" max="9" width="17.7109375" style="1" customWidth="1"/>
    <col min="10" max="16384" width="9.140625" style="1" customWidth="1"/>
  </cols>
  <sheetData>
    <row r="1" spans="1:7" s="111" customFormat="1" ht="25.5">
      <c r="A1" s="110" t="s">
        <v>177</v>
      </c>
      <c r="B1" s="329"/>
      <c r="C1" s="329"/>
      <c r="D1" s="329"/>
      <c r="E1" s="329"/>
      <c r="F1" s="329"/>
      <c r="G1" s="350"/>
    </row>
    <row r="2" spans="1:7" s="40" customFormat="1" ht="18" customHeight="1">
      <c r="A2" s="16"/>
      <c r="B2" s="334"/>
      <c r="C2" s="334"/>
      <c r="D2" s="334"/>
      <c r="E2" s="334"/>
      <c r="F2" s="334"/>
      <c r="G2" s="351"/>
    </row>
    <row r="3" spans="1:7" ht="18" customHeight="1">
      <c r="A3" s="377" t="s">
        <v>274</v>
      </c>
      <c r="B3" s="368"/>
      <c r="C3" s="368"/>
      <c r="D3" s="368"/>
      <c r="E3" s="368"/>
      <c r="F3" s="368"/>
      <c r="G3" s="384"/>
    </row>
    <row r="4" spans="1:7" ht="15.75">
      <c r="A4" s="377" t="s">
        <v>132</v>
      </c>
      <c r="B4" s="368"/>
      <c r="C4" s="368"/>
      <c r="D4" s="368"/>
      <c r="E4" s="368"/>
      <c r="F4" s="368"/>
      <c r="G4" s="384"/>
    </row>
    <row r="5" spans="1:7" s="6" customFormat="1" ht="15">
      <c r="A5" s="447" t="s">
        <v>126</v>
      </c>
      <c r="B5" s="336"/>
      <c r="C5" s="336"/>
      <c r="D5" s="336"/>
      <c r="E5" s="336"/>
      <c r="F5" s="336"/>
      <c r="G5" s="351"/>
    </row>
    <row r="6" spans="1:7" s="6" customFormat="1" ht="31.5" customHeight="1">
      <c r="A6" s="41"/>
      <c r="B6" s="339" t="s">
        <v>30</v>
      </c>
      <c r="C6" s="339" t="s">
        <v>31</v>
      </c>
      <c r="D6" s="339" t="s">
        <v>151</v>
      </c>
      <c r="E6" s="339" t="s">
        <v>165</v>
      </c>
      <c r="F6" s="339" t="s">
        <v>143</v>
      </c>
      <c r="G6" s="445" t="s">
        <v>178</v>
      </c>
    </row>
    <row r="7" spans="1:7" s="6" customFormat="1" ht="15.75" customHeight="1">
      <c r="A7" s="42" t="s">
        <v>275</v>
      </c>
      <c r="B7" s="341"/>
      <c r="C7" s="341"/>
      <c r="D7" s="341"/>
      <c r="E7" s="341"/>
      <c r="F7" s="341"/>
      <c r="G7" s="341"/>
    </row>
    <row r="8" spans="1:7" s="44" customFormat="1" ht="15.75" customHeight="1">
      <c r="A8" s="43" t="s">
        <v>19</v>
      </c>
      <c r="B8" s="232">
        <f>-'[6]3Q03 TRIAL BALANCE'!C197</f>
        <v>4172904</v>
      </c>
      <c r="C8" s="232">
        <f>-'[6]3Q03 TRIAL BALANCE'!C196</f>
        <v>-19637</v>
      </c>
      <c r="D8" s="232">
        <f>-'[6]3Q03 TRIAL BALANCE'!C195</f>
        <v>-493</v>
      </c>
      <c r="E8" s="232">
        <f>-'[6]3Q03 TRIAL BALANCE'!C194</f>
        <v>-282</v>
      </c>
      <c r="F8" s="459">
        <v>0</v>
      </c>
      <c r="G8" s="425">
        <f>SUM(B8:F8)</f>
        <v>4152492</v>
      </c>
    </row>
    <row r="9" spans="1:7" s="6" customFormat="1" ht="15.75" customHeight="1">
      <c r="A9" s="45" t="s">
        <v>290</v>
      </c>
      <c r="B9" s="424">
        <f>-'[6]3Q03 TRIAL BALANCE'!C201</f>
        <v>1378233</v>
      </c>
      <c r="C9" s="424">
        <f>-'[6]3Q03 TRIAL BALANCE'!C200</f>
        <v>-9676</v>
      </c>
      <c r="D9" s="424">
        <f>-'[6]3Q03 TRIAL BALANCE'!C199</f>
        <v>-182</v>
      </c>
      <c r="E9" s="424">
        <f>-'[6]3Q03 TRIAL BALANCE'!C198</f>
        <v>-160</v>
      </c>
      <c r="F9" s="423">
        <v>0</v>
      </c>
      <c r="G9" s="424">
        <f>SUM(B9:F9)</f>
        <v>1368215</v>
      </c>
    </row>
    <row r="10" spans="1:20" s="6" customFormat="1" ht="15.75" customHeight="1">
      <c r="A10" s="45" t="s">
        <v>0</v>
      </c>
      <c r="B10" s="424">
        <f>-'[6]3Q03 TRIAL BALANCE'!C203</f>
        <v>19768</v>
      </c>
      <c r="C10" s="424">
        <f>-'[6]3Q03 TRIAL BALANCE'!C202</f>
        <v>-222</v>
      </c>
      <c r="D10" s="423">
        <v>0</v>
      </c>
      <c r="E10" s="423">
        <v>0</v>
      </c>
      <c r="F10" s="423">
        <v>0</v>
      </c>
      <c r="G10" s="424">
        <f>SUM(B10:F10)</f>
        <v>19546</v>
      </c>
      <c r="H10" s="38"/>
      <c r="I10" s="38"/>
      <c r="J10" s="38"/>
      <c r="K10" s="38"/>
      <c r="L10" s="38"/>
      <c r="M10" s="38"/>
      <c r="N10" s="38"/>
      <c r="O10" s="38"/>
      <c r="P10" s="38"/>
      <c r="Q10" s="38"/>
      <c r="R10" s="38"/>
      <c r="S10" s="38"/>
      <c r="T10" s="38"/>
    </row>
    <row r="11" spans="1:20" s="23" customFormat="1" ht="15.75" customHeight="1" thickBot="1">
      <c r="A11" s="46" t="s">
        <v>279</v>
      </c>
      <c r="B11" s="426">
        <f>SUM(B8:B10)</f>
        <v>5570905</v>
      </c>
      <c r="C11" s="426">
        <f>SUM(C8:C10)</f>
        <v>-29535</v>
      </c>
      <c r="D11" s="427">
        <f>SUM(D8:D10)</f>
        <v>-675</v>
      </c>
      <c r="E11" s="427">
        <f>SUM(E8:E10)</f>
        <v>-442</v>
      </c>
      <c r="F11" s="428">
        <f>SUM(F8:F10)</f>
        <v>0</v>
      </c>
      <c r="G11" s="454">
        <f>SUM(B11:F11)</f>
        <v>5540253</v>
      </c>
      <c r="H11" s="380"/>
      <c r="I11" s="380"/>
      <c r="J11" s="380"/>
      <c r="K11" s="380"/>
      <c r="L11" s="380"/>
      <c r="M11" s="380"/>
      <c r="N11" s="380"/>
      <c r="O11" s="380"/>
      <c r="P11" s="380"/>
      <c r="Q11" s="380"/>
      <c r="R11" s="380"/>
      <c r="S11" s="380"/>
      <c r="T11" s="380"/>
    </row>
    <row r="12" spans="1:20" s="23" customFormat="1" ht="15.75" customHeight="1" thickTop="1">
      <c r="A12" s="45"/>
      <c r="B12" s="353"/>
      <c r="C12" s="353"/>
      <c r="D12" s="353"/>
      <c r="E12" s="353"/>
      <c r="F12" s="353"/>
      <c r="G12" s="381"/>
      <c r="H12" s="380"/>
      <c r="I12" s="380"/>
      <c r="J12" s="380"/>
      <c r="K12" s="380"/>
      <c r="L12" s="380"/>
      <c r="M12" s="380"/>
      <c r="N12" s="380"/>
      <c r="O12" s="380"/>
      <c r="P12" s="380"/>
      <c r="Q12" s="380"/>
      <c r="R12" s="380"/>
      <c r="S12" s="380"/>
      <c r="T12" s="380"/>
    </row>
    <row r="13" spans="1:20" s="23" customFormat="1" ht="30" customHeight="1">
      <c r="A13" s="48" t="s">
        <v>136</v>
      </c>
      <c r="B13" s="353"/>
      <c r="C13" s="353"/>
      <c r="D13" s="353"/>
      <c r="E13" s="353"/>
      <c r="F13" s="353"/>
      <c r="G13" s="353"/>
      <c r="H13" s="380"/>
      <c r="I13" s="380"/>
      <c r="J13" s="380"/>
      <c r="K13" s="380"/>
      <c r="L13" s="380"/>
      <c r="M13" s="380"/>
      <c r="N13" s="380"/>
      <c r="O13" s="380"/>
      <c r="P13" s="380"/>
      <c r="Q13" s="380"/>
      <c r="R13" s="380"/>
      <c r="S13" s="380"/>
      <c r="T13" s="380"/>
    </row>
    <row r="14" spans="1:20" s="23" customFormat="1" ht="15.75" customHeight="1">
      <c r="A14" s="45" t="s">
        <v>19</v>
      </c>
      <c r="B14" s="424">
        <f>'Premiums YTD-p8'!B14</f>
        <v>7523356</v>
      </c>
      <c r="C14" s="424">
        <f>'Premiums YTD-p8'!C14</f>
        <v>414542</v>
      </c>
      <c r="D14" s="423">
        <v>0</v>
      </c>
      <c r="E14" s="423">
        <v>0</v>
      </c>
      <c r="F14" s="423">
        <v>0</v>
      </c>
      <c r="G14" s="424">
        <f>SUM(B14:F14)</f>
        <v>7937898</v>
      </c>
      <c r="H14" s="380"/>
      <c r="I14" s="380"/>
      <c r="J14" s="380"/>
      <c r="K14" s="380"/>
      <c r="L14" s="380"/>
      <c r="M14" s="380"/>
      <c r="N14" s="380"/>
      <c r="O14" s="380"/>
      <c r="P14" s="380"/>
      <c r="Q14" s="380"/>
      <c r="R14" s="380"/>
      <c r="S14" s="380"/>
      <c r="T14" s="380"/>
    </row>
    <row r="15" spans="1:20" s="23" customFormat="1" ht="15.75" customHeight="1">
      <c r="A15" s="45" t="s">
        <v>22</v>
      </c>
      <c r="B15" s="424">
        <f>'Premiums YTD-p8'!B15</f>
        <v>2489941</v>
      </c>
      <c r="C15" s="424">
        <f>'Premiums YTD-p8'!C15</f>
        <v>140633</v>
      </c>
      <c r="D15" s="423">
        <v>0</v>
      </c>
      <c r="E15" s="423">
        <v>0</v>
      </c>
      <c r="F15" s="423">
        <v>0</v>
      </c>
      <c r="G15" s="424">
        <f>SUM(B15:F15)</f>
        <v>2630574</v>
      </c>
      <c r="H15" s="380"/>
      <c r="I15" s="380"/>
      <c r="J15" s="380"/>
      <c r="K15" s="380"/>
      <c r="L15" s="380"/>
      <c r="M15" s="380"/>
      <c r="N15" s="380"/>
      <c r="O15" s="380"/>
      <c r="P15" s="380"/>
      <c r="Q15" s="380"/>
      <c r="R15" s="380"/>
      <c r="S15" s="380"/>
      <c r="T15" s="380"/>
    </row>
    <row r="16" spans="1:20" s="23" customFormat="1" ht="15.75" customHeight="1">
      <c r="A16" s="45" t="s">
        <v>12</v>
      </c>
      <c r="B16" s="424">
        <f>'Premiums YTD-p8'!B16</f>
        <v>36470</v>
      </c>
      <c r="C16" s="424">
        <f>'Premiums YTD-p8'!C16</f>
        <v>1949</v>
      </c>
      <c r="D16" s="423">
        <v>0</v>
      </c>
      <c r="E16" s="423">
        <v>0</v>
      </c>
      <c r="F16" s="423">
        <v>0</v>
      </c>
      <c r="G16" s="424">
        <f>SUM(B16:F16)</f>
        <v>38419</v>
      </c>
      <c r="H16" s="380"/>
      <c r="I16" s="380"/>
      <c r="J16" s="380"/>
      <c r="K16" s="380"/>
      <c r="L16" s="380"/>
      <c r="M16" s="380"/>
      <c r="N16" s="380"/>
      <c r="O16" s="380"/>
      <c r="P16" s="380"/>
      <c r="Q16" s="380"/>
      <c r="R16" s="380"/>
      <c r="S16" s="380"/>
      <c r="T16" s="380"/>
    </row>
    <row r="17" spans="1:20" s="23" customFormat="1" ht="15.75" customHeight="1" thickBot="1">
      <c r="A17" s="46" t="s">
        <v>279</v>
      </c>
      <c r="B17" s="426">
        <f aca="true" t="shared" si="0" ref="B17:G17">SUM(B14:B16)</f>
        <v>10049767</v>
      </c>
      <c r="C17" s="426">
        <f t="shared" si="0"/>
        <v>557124</v>
      </c>
      <c r="D17" s="428">
        <f t="shared" si="0"/>
        <v>0</v>
      </c>
      <c r="E17" s="428">
        <f t="shared" si="0"/>
        <v>0</v>
      </c>
      <c r="F17" s="428">
        <f t="shared" si="0"/>
        <v>0</v>
      </c>
      <c r="G17" s="454">
        <f t="shared" si="0"/>
        <v>10606891</v>
      </c>
      <c r="H17" s="380"/>
      <c r="I17" s="380"/>
      <c r="J17" s="380"/>
      <c r="K17" s="380"/>
      <c r="L17" s="380"/>
      <c r="M17" s="380"/>
      <c r="N17" s="380"/>
      <c r="O17" s="380"/>
      <c r="P17" s="380"/>
      <c r="Q17" s="380"/>
      <c r="R17" s="380"/>
      <c r="S17" s="380"/>
      <c r="T17" s="380"/>
    </row>
    <row r="18" spans="1:20" s="23" customFormat="1" ht="15.75" customHeight="1" thickTop="1">
      <c r="A18" s="45"/>
      <c r="B18" s="353"/>
      <c r="C18" s="353"/>
      <c r="D18" s="353"/>
      <c r="E18" s="353"/>
      <c r="F18" s="353"/>
      <c r="G18" s="362"/>
      <c r="H18" s="380"/>
      <c r="I18" s="380"/>
      <c r="J18" s="380"/>
      <c r="K18" s="380"/>
      <c r="L18" s="380"/>
      <c r="M18" s="380"/>
      <c r="N18" s="380"/>
      <c r="O18" s="380"/>
      <c r="P18" s="380"/>
      <c r="Q18" s="380"/>
      <c r="R18" s="380"/>
      <c r="S18" s="380"/>
      <c r="T18" s="380"/>
    </row>
    <row r="19" spans="1:20" s="23" customFormat="1" ht="30" customHeight="1">
      <c r="A19" s="48" t="s">
        <v>137</v>
      </c>
      <c r="B19" s="353"/>
      <c r="C19" s="353"/>
      <c r="D19" s="353"/>
      <c r="E19" s="353"/>
      <c r="F19" s="353"/>
      <c r="G19" s="353"/>
      <c r="H19" s="380"/>
      <c r="I19" s="380"/>
      <c r="J19" s="380"/>
      <c r="K19" s="380"/>
      <c r="L19" s="380"/>
      <c r="M19" s="380"/>
      <c r="N19" s="380"/>
      <c r="O19" s="380"/>
      <c r="P19" s="380"/>
      <c r="Q19" s="380"/>
      <c r="R19" s="380"/>
      <c r="S19" s="380"/>
      <c r="T19" s="380"/>
    </row>
    <row r="20" spans="1:20" s="23" customFormat="1" ht="15.75" customHeight="1">
      <c r="A20" s="45" t="s">
        <v>19</v>
      </c>
      <c r="B20" s="424">
        <f>'[7]Premiums YTD-p8'!B14</f>
        <v>5831024</v>
      </c>
      <c r="C20" s="424">
        <f>'[7]Premiums YTD-p8'!C14</f>
        <v>1657700</v>
      </c>
      <c r="D20" s="423">
        <f>'[7]Premiums YTD-p8'!D14</f>
        <v>0</v>
      </c>
      <c r="E20" s="423">
        <f>'[7]Premiums YTD-p8'!E14</f>
        <v>0</v>
      </c>
      <c r="F20" s="423">
        <f>'[7]Premiums YTD-p8'!F14</f>
        <v>0</v>
      </c>
      <c r="G20" s="424">
        <f>SUM(B20:F20)</f>
        <v>7488724</v>
      </c>
      <c r="H20" s="380"/>
      <c r="I20" s="380"/>
      <c r="J20" s="380"/>
      <c r="K20" s="380"/>
      <c r="L20" s="380"/>
      <c r="M20" s="380"/>
      <c r="N20" s="380"/>
      <c r="O20" s="380"/>
      <c r="P20" s="380"/>
      <c r="Q20" s="380"/>
      <c r="R20" s="380"/>
      <c r="S20" s="380"/>
      <c r="T20" s="380"/>
    </row>
    <row r="21" spans="1:20" s="23" customFormat="1" ht="15.75" customHeight="1">
      <c r="A21" s="45" t="s">
        <v>290</v>
      </c>
      <c r="B21" s="424">
        <f>'[7]Premiums YTD-p8'!B15</f>
        <v>1931161</v>
      </c>
      <c r="C21" s="424">
        <f>'[7]Premiums YTD-p8'!C15</f>
        <v>585706</v>
      </c>
      <c r="D21" s="423">
        <f>'[7]Premiums YTD-p8'!D15</f>
        <v>0</v>
      </c>
      <c r="E21" s="423">
        <f>'[7]Premiums YTD-p8'!E15</f>
        <v>0</v>
      </c>
      <c r="F21" s="423">
        <f>'[7]Premiums YTD-p8'!F15</f>
        <v>0</v>
      </c>
      <c r="G21" s="424">
        <f>SUM(B21:F21)</f>
        <v>2516867</v>
      </c>
      <c r="H21" s="380"/>
      <c r="I21" s="380"/>
      <c r="J21" s="380"/>
      <c r="K21" s="380"/>
      <c r="L21" s="380"/>
      <c r="M21" s="380"/>
      <c r="N21" s="380"/>
      <c r="O21" s="380"/>
      <c r="P21" s="380"/>
      <c r="Q21" s="380"/>
      <c r="R21" s="380"/>
      <c r="S21" s="380"/>
      <c r="T21" s="380"/>
    </row>
    <row r="22" spans="1:20" s="23" customFormat="1" ht="15.75" customHeight="1">
      <c r="A22" s="45" t="s">
        <v>0</v>
      </c>
      <c r="B22" s="424">
        <f>'[7]Premiums YTD-p8'!B16</f>
        <v>28873</v>
      </c>
      <c r="C22" s="424">
        <f>'[7]Premiums YTD-p8'!C16</f>
        <v>9223</v>
      </c>
      <c r="D22" s="423">
        <f>'[7]Premiums YTD-p8'!D16</f>
        <v>0</v>
      </c>
      <c r="E22" s="423">
        <f>'[7]Premiums YTD-p8'!E16</f>
        <v>0</v>
      </c>
      <c r="F22" s="423">
        <f>'[7]Premiums YTD-p8'!F16</f>
        <v>0</v>
      </c>
      <c r="G22" s="424">
        <f>SUM(B22:F22)</f>
        <v>38096</v>
      </c>
      <c r="H22" s="380"/>
      <c r="I22" s="380"/>
      <c r="J22" s="380"/>
      <c r="K22" s="380"/>
      <c r="L22" s="380"/>
      <c r="M22" s="380"/>
      <c r="N22" s="380"/>
      <c r="O22" s="380"/>
      <c r="P22" s="380"/>
      <c r="Q22" s="380"/>
      <c r="R22" s="380"/>
      <c r="S22" s="380"/>
      <c r="T22" s="380"/>
    </row>
    <row r="23" spans="1:20" s="23" customFormat="1" ht="15.75" customHeight="1" thickBot="1">
      <c r="A23" s="46" t="s">
        <v>279</v>
      </c>
      <c r="B23" s="426">
        <f aca="true" t="shared" si="1" ref="B23:G23">SUM(B20:B22)</f>
        <v>7791058</v>
      </c>
      <c r="C23" s="426">
        <f t="shared" si="1"/>
        <v>2252629</v>
      </c>
      <c r="D23" s="428">
        <f t="shared" si="1"/>
        <v>0</v>
      </c>
      <c r="E23" s="428">
        <f t="shared" si="1"/>
        <v>0</v>
      </c>
      <c r="F23" s="428">
        <f t="shared" si="1"/>
        <v>0</v>
      </c>
      <c r="G23" s="454">
        <f t="shared" si="1"/>
        <v>10043687</v>
      </c>
      <c r="H23" s="380"/>
      <c r="I23" s="380"/>
      <c r="J23" s="380"/>
      <c r="K23" s="380"/>
      <c r="L23" s="380"/>
      <c r="M23" s="380"/>
      <c r="N23" s="380"/>
      <c r="O23" s="380"/>
      <c r="P23" s="380"/>
      <c r="Q23" s="380"/>
      <c r="R23" s="380"/>
      <c r="S23" s="380"/>
      <c r="T23" s="380"/>
    </row>
    <row r="24" spans="1:20" s="386" customFormat="1" ht="15.75" customHeight="1" thickTop="1">
      <c r="A24" s="119"/>
      <c r="B24" s="353"/>
      <c r="C24" s="353"/>
      <c r="D24" s="353"/>
      <c r="E24" s="353"/>
      <c r="F24" s="353"/>
      <c r="G24" s="381"/>
      <c r="H24" s="385"/>
      <c r="I24" s="385"/>
      <c r="J24" s="385"/>
      <c r="K24" s="385"/>
      <c r="L24" s="385"/>
      <c r="M24" s="385"/>
      <c r="N24" s="385"/>
      <c r="O24" s="385"/>
      <c r="P24" s="385"/>
      <c r="Q24" s="385"/>
      <c r="R24" s="385"/>
      <c r="S24" s="385"/>
      <c r="T24" s="385"/>
    </row>
    <row r="25" spans="1:20" s="23" customFormat="1" ht="15.75" customHeight="1">
      <c r="A25" s="48" t="s">
        <v>280</v>
      </c>
      <c r="B25" s="353"/>
      <c r="C25" s="353"/>
      <c r="D25" s="353"/>
      <c r="E25" s="353"/>
      <c r="F25" s="353"/>
      <c r="G25" s="353"/>
      <c r="H25" s="380"/>
      <c r="I25" s="380"/>
      <c r="J25" s="380"/>
      <c r="K25" s="380"/>
      <c r="L25" s="380"/>
      <c r="M25" s="380"/>
      <c r="N25" s="380"/>
      <c r="O25" s="380"/>
      <c r="P25" s="380"/>
      <c r="Q25" s="380"/>
      <c r="R25" s="380"/>
      <c r="S25" s="380"/>
      <c r="T25" s="380"/>
    </row>
    <row r="26" spans="1:20" s="23" customFormat="1" ht="15.75" customHeight="1">
      <c r="A26" s="45" t="s">
        <v>19</v>
      </c>
      <c r="B26" s="430">
        <f>B8-(B14-B20)</f>
        <v>2480572</v>
      </c>
      <c r="C26" s="430">
        <f aca="true" t="shared" si="2" ref="C26:D28">C8-(C14-C20)</f>
        <v>1223521</v>
      </c>
      <c r="D26" s="424">
        <f t="shared" si="2"/>
        <v>-493</v>
      </c>
      <c r="E26" s="424">
        <f aca="true" t="shared" si="3" ref="E26:F28">E8-(E14-E20)</f>
        <v>-282</v>
      </c>
      <c r="F26" s="423">
        <f t="shared" si="3"/>
        <v>0</v>
      </c>
      <c r="G26" s="424">
        <f>SUM(B26:F26)</f>
        <v>3703318</v>
      </c>
      <c r="H26" s="380"/>
      <c r="I26" s="380"/>
      <c r="J26" s="380"/>
      <c r="K26" s="380"/>
      <c r="L26" s="380"/>
      <c r="M26" s="380"/>
      <c r="N26" s="380"/>
      <c r="O26" s="380"/>
      <c r="P26" s="380"/>
      <c r="Q26" s="380"/>
      <c r="R26" s="380"/>
      <c r="S26" s="380"/>
      <c r="T26" s="380"/>
    </row>
    <row r="27" spans="1:20" s="23" customFormat="1" ht="15.75" customHeight="1">
      <c r="A27" s="45" t="s">
        <v>290</v>
      </c>
      <c r="B27" s="430">
        <f>B9-(B15-B21)</f>
        <v>819453</v>
      </c>
      <c r="C27" s="430">
        <f t="shared" si="2"/>
        <v>435397</v>
      </c>
      <c r="D27" s="424">
        <f t="shared" si="2"/>
        <v>-182</v>
      </c>
      <c r="E27" s="424">
        <f t="shared" si="3"/>
        <v>-160</v>
      </c>
      <c r="F27" s="423">
        <f t="shared" si="3"/>
        <v>0</v>
      </c>
      <c r="G27" s="424">
        <f>SUM(B27:F27)</f>
        <v>1254508</v>
      </c>
      <c r="H27" s="380"/>
      <c r="I27" s="380"/>
      <c r="J27" s="380"/>
      <c r="K27" s="380"/>
      <c r="L27" s="380"/>
      <c r="M27" s="380"/>
      <c r="N27" s="380"/>
      <c r="O27" s="380"/>
      <c r="P27" s="380"/>
      <c r="Q27" s="380"/>
      <c r="R27" s="380"/>
      <c r="S27" s="380"/>
      <c r="T27" s="380"/>
    </row>
    <row r="28" spans="1:20" s="23" customFormat="1" ht="15.75" customHeight="1">
      <c r="A28" s="49" t="s">
        <v>0</v>
      </c>
      <c r="B28" s="430">
        <f>B10-(B16-B22)</f>
        <v>12171</v>
      </c>
      <c r="C28" s="430">
        <f t="shared" si="2"/>
        <v>7052</v>
      </c>
      <c r="D28" s="423">
        <f t="shared" si="2"/>
        <v>0</v>
      </c>
      <c r="E28" s="423">
        <f t="shared" si="3"/>
        <v>0</v>
      </c>
      <c r="F28" s="423">
        <f>F10-(F16-F22)</f>
        <v>0</v>
      </c>
      <c r="G28" s="424">
        <f>SUM(B28:F28)</f>
        <v>19223</v>
      </c>
      <c r="H28" s="380"/>
      <c r="I28" s="380"/>
      <c r="J28" s="380"/>
      <c r="K28" s="380"/>
      <c r="L28" s="380"/>
      <c r="M28" s="380"/>
      <c r="N28" s="380"/>
      <c r="O28" s="380"/>
      <c r="P28" s="380"/>
      <c r="Q28" s="380"/>
      <c r="R28" s="380"/>
      <c r="S28" s="380"/>
      <c r="T28" s="380"/>
    </row>
    <row r="29" spans="1:20" s="23" customFormat="1" ht="15.75" customHeight="1" thickBot="1">
      <c r="A29" s="50" t="s">
        <v>279</v>
      </c>
      <c r="B29" s="211">
        <f aca="true" t="shared" si="4" ref="B29:G29">SUM(B26:B28)</f>
        <v>3312196</v>
      </c>
      <c r="C29" s="211">
        <f t="shared" si="4"/>
        <v>1665970</v>
      </c>
      <c r="D29" s="211">
        <f t="shared" si="4"/>
        <v>-675</v>
      </c>
      <c r="E29" s="211">
        <f t="shared" si="4"/>
        <v>-442</v>
      </c>
      <c r="F29" s="432">
        <f t="shared" si="4"/>
        <v>0</v>
      </c>
      <c r="G29" s="429">
        <f t="shared" si="4"/>
        <v>4977049</v>
      </c>
      <c r="H29" s="380"/>
      <c r="I29" s="380"/>
      <c r="J29" s="380"/>
      <c r="K29" s="380"/>
      <c r="L29" s="380"/>
      <c r="M29" s="380"/>
      <c r="N29" s="380"/>
      <c r="O29" s="380"/>
      <c r="P29" s="380"/>
      <c r="Q29" s="380"/>
      <c r="R29" s="380"/>
      <c r="S29" s="380"/>
      <c r="T29" s="380"/>
    </row>
    <row r="30" spans="1:20" s="23" customFormat="1" ht="15.75" customHeight="1" thickTop="1">
      <c r="A30" s="50"/>
      <c r="B30" s="433"/>
      <c r="C30" s="433"/>
      <c r="D30" s="433"/>
      <c r="E30" s="433"/>
      <c r="F30" s="452"/>
      <c r="G30" s="453"/>
      <c r="H30" s="380"/>
      <c r="I30" s="380"/>
      <c r="J30" s="380"/>
      <c r="K30" s="380"/>
      <c r="L30" s="380"/>
      <c r="M30" s="380"/>
      <c r="N30" s="380"/>
      <c r="O30" s="380"/>
      <c r="P30" s="380"/>
      <c r="Q30" s="380"/>
      <c r="R30" s="380"/>
      <c r="S30" s="380"/>
      <c r="T30" s="380"/>
    </row>
    <row r="31" spans="1:20" s="23" customFormat="1" ht="15.75" customHeight="1">
      <c r="A31" s="50"/>
      <c r="B31" s="433"/>
      <c r="C31" s="433"/>
      <c r="D31" s="433"/>
      <c r="E31" s="433"/>
      <c r="F31" s="452"/>
      <c r="G31" s="453"/>
      <c r="H31" s="380"/>
      <c r="I31" s="380"/>
      <c r="J31" s="380"/>
      <c r="K31" s="380"/>
      <c r="L31" s="380"/>
      <c r="M31" s="380"/>
      <c r="N31" s="380"/>
      <c r="O31" s="380"/>
      <c r="P31" s="380"/>
      <c r="Q31" s="380"/>
      <c r="R31" s="380"/>
      <c r="S31" s="380"/>
      <c r="T31" s="380"/>
    </row>
    <row r="32" spans="1:7" s="6" customFormat="1" ht="15.75" customHeight="1">
      <c r="A32" s="478" t="s">
        <v>291</v>
      </c>
      <c r="B32" s="479"/>
      <c r="C32" s="479"/>
      <c r="D32" s="479"/>
      <c r="E32" s="479"/>
      <c r="F32" s="479"/>
      <c r="G32" s="479"/>
    </row>
    <row r="33" spans="1:7" s="6" customFormat="1" ht="15.75" customHeight="1">
      <c r="A33" s="479"/>
      <c r="B33" s="479"/>
      <c r="C33" s="479"/>
      <c r="D33" s="479"/>
      <c r="E33" s="479"/>
      <c r="F33" s="479"/>
      <c r="G33" s="479"/>
    </row>
    <row r="34" spans="2:7" s="6" customFormat="1" ht="15.75" customHeight="1">
      <c r="B34" s="371"/>
      <c r="C34" s="371"/>
      <c r="D34" s="371"/>
      <c r="E34" s="371"/>
      <c r="F34" s="371"/>
      <c r="G34" s="371"/>
    </row>
    <row r="35" spans="2:7" s="6" customFormat="1" ht="15.75" customHeight="1">
      <c r="B35" s="371"/>
      <c r="C35" s="371"/>
      <c r="D35" s="371"/>
      <c r="E35" s="371"/>
      <c r="F35" s="371"/>
      <c r="G35" s="371"/>
    </row>
    <row r="36" spans="2:7" s="6" customFormat="1" ht="15.75" customHeight="1">
      <c r="B36" s="371"/>
      <c r="C36" s="371"/>
      <c r="D36" s="371"/>
      <c r="E36" s="371"/>
      <c r="F36" s="371"/>
      <c r="G36" s="371"/>
    </row>
    <row r="37" spans="2:7" s="6" customFormat="1" ht="15.75" customHeight="1">
      <c r="B37" s="371"/>
      <c r="C37" s="371"/>
      <c r="D37" s="371"/>
      <c r="E37" s="371"/>
      <c r="F37" s="371"/>
      <c r="G37" s="371"/>
    </row>
    <row r="38" spans="2:7" s="6" customFormat="1" ht="15.75" customHeight="1">
      <c r="B38" s="371"/>
      <c r="C38" s="371"/>
      <c r="D38" s="371"/>
      <c r="E38" s="371"/>
      <c r="F38" s="371"/>
      <c r="G38" s="371"/>
    </row>
    <row r="39" spans="2:7" s="6" customFormat="1" ht="15.75" customHeight="1">
      <c r="B39" s="371"/>
      <c r="C39" s="371"/>
      <c r="D39" s="371"/>
      <c r="E39" s="371"/>
      <c r="F39" s="371"/>
      <c r="G39" s="371"/>
    </row>
    <row r="40" spans="2:7" s="6" customFormat="1" ht="15.75" customHeight="1">
      <c r="B40" s="371"/>
      <c r="C40" s="371"/>
      <c r="D40" s="371"/>
      <c r="E40" s="371"/>
      <c r="F40" s="371"/>
      <c r="G40" s="371"/>
    </row>
    <row r="41" spans="2:7" s="6" customFormat="1" ht="15.75" customHeight="1">
      <c r="B41" s="371"/>
      <c r="C41" s="371"/>
      <c r="D41" s="371"/>
      <c r="E41" s="371"/>
      <c r="F41" s="371"/>
      <c r="G41" s="371"/>
    </row>
    <row r="42" spans="2:7" s="6" customFormat="1" ht="15.75" customHeight="1">
      <c r="B42" s="371"/>
      <c r="C42" s="371"/>
      <c r="D42" s="371"/>
      <c r="E42" s="371"/>
      <c r="F42" s="371"/>
      <c r="G42" s="371"/>
    </row>
    <row r="43" spans="2:7" s="6" customFormat="1" ht="15.75" customHeight="1">
      <c r="B43" s="371"/>
      <c r="C43" s="371"/>
      <c r="D43" s="371"/>
      <c r="E43" s="371"/>
      <c r="F43" s="371"/>
      <c r="G43" s="371"/>
    </row>
    <row r="44" spans="2:7" s="6" customFormat="1" ht="15.75" customHeight="1">
      <c r="B44" s="371"/>
      <c r="C44" s="371"/>
      <c r="D44" s="371"/>
      <c r="E44" s="371"/>
      <c r="F44" s="371"/>
      <c r="G44" s="371"/>
    </row>
    <row r="45" spans="2:7" s="6" customFormat="1" ht="15.75" customHeight="1">
      <c r="B45" s="371"/>
      <c r="C45" s="371"/>
      <c r="D45" s="371"/>
      <c r="E45" s="371"/>
      <c r="F45" s="371"/>
      <c r="G45" s="371"/>
    </row>
    <row r="46" spans="2:7" s="6" customFormat="1" ht="15.75" customHeight="1">
      <c r="B46" s="371"/>
      <c r="C46" s="371"/>
      <c r="D46" s="371"/>
      <c r="E46" s="371"/>
      <c r="F46" s="371"/>
      <c r="G46" s="371"/>
    </row>
    <row r="47" spans="2:7" s="6" customFormat="1" ht="15.75" customHeight="1">
      <c r="B47" s="371"/>
      <c r="C47" s="371"/>
      <c r="D47" s="371"/>
      <c r="E47" s="371"/>
      <c r="F47" s="371"/>
      <c r="G47" s="371"/>
    </row>
    <row r="48" spans="2:7" s="6" customFormat="1" ht="15.75" customHeight="1">
      <c r="B48" s="371"/>
      <c r="C48" s="371"/>
      <c r="D48" s="371"/>
      <c r="E48" s="371"/>
      <c r="F48" s="371"/>
      <c r="G48" s="371"/>
    </row>
    <row r="49" spans="2:7" s="6" customFormat="1" ht="15.75" customHeight="1">
      <c r="B49" s="371"/>
      <c r="C49" s="371"/>
      <c r="D49" s="371"/>
      <c r="E49" s="371"/>
      <c r="F49" s="371"/>
      <c r="G49" s="371"/>
    </row>
    <row r="50" spans="2:7" s="6" customFormat="1" ht="15.75" customHeight="1">
      <c r="B50" s="371"/>
      <c r="C50" s="371"/>
      <c r="D50" s="371"/>
      <c r="E50" s="371"/>
      <c r="F50" s="371"/>
      <c r="G50" s="371"/>
    </row>
    <row r="51" spans="2:7" s="6" customFormat="1" ht="15.75" customHeight="1">
      <c r="B51" s="371"/>
      <c r="C51" s="371"/>
      <c r="D51" s="371"/>
      <c r="E51" s="371"/>
      <c r="F51" s="371"/>
      <c r="G51" s="371"/>
    </row>
    <row r="52" spans="2:7" s="6" customFormat="1" ht="15.75" customHeight="1">
      <c r="B52" s="371"/>
      <c r="C52" s="371"/>
      <c r="D52" s="371"/>
      <c r="E52" s="371"/>
      <c r="F52" s="371"/>
      <c r="G52" s="371"/>
    </row>
    <row r="53" spans="2:7" s="6" customFormat="1" ht="15.75" customHeight="1">
      <c r="B53" s="371"/>
      <c r="C53" s="371"/>
      <c r="D53" s="371"/>
      <c r="E53" s="371"/>
      <c r="F53" s="371"/>
      <c r="G53" s="371"/>
    </row>
    <row r="54" spans="2:7" s="6" customFormat="1" ht="15.75" customHeight="1">
      <c r="B54" s="371"/>
      <c r="C54" s="371"/>
      <c r="D54" s="371"/>
      <c r="E54" s="371"/>
      <c r="F54" s="371"/>
      <c r="G54" s="371"/>
    </row>
    <row r="55" spans="2:7" s="6" customFormat="1" ht="15.75" customHeight="1">
      <c r="B55" s="371"/>
      <c r="C55" s="371"/>
      <c r="D55" s="371"/>
      <c r="E55" s="371"/>
      <c r="F55" s="371"/>
      <c r="G55" s="371"/>
    </row>
    <row r="56" spans="2:7" s="6" customFormat="1" ht="15.75" customHeight="1">
      <c r="B56" s="371"/>
      <c r="C56" s="371"/>
      <c r="D56" s="371"/>
      <c r="E56" s="371"/>
      <c r="F56" s="371"/>
      <c r="G56" s="371"/>
    </row>
    <row r="57" spans="2:7" s="6" customFormat="1" ht="15.75" customHeight="1">
      <c r="B57" s="371"/>
      <c r="C57" s="371"/>
      <c r="D57" s="371"/>
      <c r="E57" s="371"/>
      <c r="F57" s="371"/>
      <c r="G57" s="371"/>
    </row>
    <row r="58" spans="2:7" s="6" customFormat="1" ht="15.75" customHeight="1">
      <c r="B58" s="371"/>
      <c r="C58" s="371"/>
      <c r="D58" s="371"/>
      <c r="E58" s="371"/>
      <c r="F58" s="371"/>
      <c r="G58" s="371"/>
    </row>
    <row r="59" spans="2:7" s="6" customFormat="1" ht="15.75" customHeight="1">
      <c r="B59" s="371"/>
      <c r="C59" s="371"/>
      <c r="D59" s="371"/>
      <c r="E59" s="371"/>
      <c r="F59" s="371"/>
      <c r="G59" s="371"/>
    </row>
    <row r="60" spans="2:7" s="6" customFormat="1" ht="15.75" customHeight="1">
      <c r="B60" s="371"/>
      <c r="C60" s="371"/>
      <c r="D60" s="371"/>
      <c r="E60" s="371"/>
      <c r="F60" s="371"/>
      <c r="G60" s="371"/>
    </row>
    <row r="61" spans="2:7" s="6" customFormat="1" ht="15.75" customHeight="1">
      <c r="B61" s="371"/>
      <c r="C61" s="371"/>
      <c r="D61" s="371"/>
      <c r="E61" s="371"/>
      <c r="F61" s="371"/>
      <c r="G61" s="371"/>
    </row>
    <row r="62" spans="2:7" s="6" customFormat="1" ht="15.75" customHeight="1">
      <c r="B62" s="371"/>
      <c r="C62" s="371"/>
      <c r="D62" s="371"/>
      <c r="E62" s="371"/>
      <c r="F62" s="371"/>
      <c r="G62" s="371"/>
    </row>
    <row r="63" spans="2:7" s="6" customFormat="1" ht="15.75" customHeight="1">
      <c r="B63" s="371"/>
      <c r="C63" s="371"/>
      <c r="D63" s="371"/>
      <c r="E63" s="371"/>
      <c r="F63" s="371"/>
      <c r="G63" s="371"/>
    </row>
    <row r="64" spans="2:7" s="6" customFormat="1" ht="15.75" customHeight="1">
      <c r="B64" s="371"/>
      <c r="C64" s="371"/>
      <c r="D64" s="371"/>
      <c r="E64" s="371"/>
      <c r="F64" s="371"/>
      <c r="G64" s="371"/>
    </row>
    <row r="65" spans="2:7" s="6" customFormat="1" ht="15.75" customHeight="1">
      <c r="B65" s="371"/>
      <c r="C65" s="371"/>
      <c r="D65" s="371"/>
      <c r="E65" s="371"/>
      <c r="F65" s="371"/>
      <c r="G65" s="371"/>
    </row>
    <row r="66" spans="2:7" s="6" customFormat="1" ht="15.75" customHeight="1">
      <c r="B66" s="371"/>
      <c r="C66" s="371"/>
      <c r="D66" s="371"/>
      <c r="E66" s="371"/>
      <c r="F66" s="371"/>
      <c r="G66" s="371"/>
    </row>
    <row r="67" spans="2:7" s="6" customFormat="1" ht="15.75" customHeight="1">
      <c r="B67" s="371"/>
      <c r="C67" s="371"/>
      <c r="D67" s="371"/>
      <c r="E67" s="371"/>
      <c r="F67" s="371"/>
      <c r="G67" s="371"/>
    </row>
    <row r="68" spans="2:7" s="6" customFormat="1" ht="15.75" customHeight="1">
      <c r="B68" s="371"/>
      <c r="C68" s="371"/>
      <c r="D68" s="371"/>
      <c r="E68" s="371"/>
      <c r="F68" s="371"/>
      <c r="G68" s="371"/>
    </row>
    <row r="69" spans="2:7" s="6" customFormat="1" ht="15.75" customHeight="1">
      <c r="B69" s="371"/>
      <c r="C69" s="371"/>
      <c r="D69" s="371"/>
      <c r="E69" s="371"/>
      <c r="F69" s="371"/>
      <c r="G69" s="371"/>
    </row>
    <row r="70" spans="2:7" s="6" customFormat="1" ht="15.75" customHeight="1">
      <c r="B70" s="371"/>
      <c r="C70" s="371"/>
      <c r="D70" s="371"/>
      <c r="E70" s="371"/>
      <c r="F70" s="371"/>
      <c r="G70" s="371"/>
    </row>
    <row r="71" spans="2:7" s="6" customFormat="1" ht="15.75" customHeight="1">
      <c r="B71" s="371"/>
      <c r="C71" s="371"/>
      <c r="D71" s="371"/>
      <c r="E71" s="371"/>
      <c r="F71" s="371"/>
      <c r="G71" s="371"/>
    </row>
    <row r="72" spans="2:7" s="6" customFormat="1" ht="15.75" customHeight="1">
      <c r="B72" s="371"/>
      <c r="C72" s="371"/>
      <c r="D72" s="371"/>
      <c r="E72" s="371"/>
      <c r="F72" s="371"/>
      <c r="G72" s="371"/>
    </row>
    <row r="73" spans="2:7" s="6" customFormat="1" ht="15.75" customHeight="1">
      <c r="B73" s="371"/>
      <c r="C73" s="371"/>
      <c r="D73" s="371"/>
      <c r="E73" s="371"/>
      <c r="F73" s="371"/>
      <c r="G73" s="371"/>
    </row>
    <row r="74" spans="2:7" s="6" customFormat="1" ht="15.75" customHeight="1">
      <c r="B74" s="371"/>
      <c r="C74" s="371"/>
      <c r="D74" s="371"/>
      <c r="E74" s="371"/>
      <c r="F74" s="371"/>
      <c r="G74" s="371"/>
    </row>
    <row r="75" spans="2:7" s="6" customFormat="1" ht="15.75" customHeight="1">
      <c r="B75" s="371"/>
      <c r="C75" s="371"/>
      <c r="D75" s="371"/>
      <c r="E75" s="371"/>
      <c r="F75" s="371"/>
      <c r="G75" s="371"/>
    </row>
    <row r="76" spans="2:7" s="6" customFormat="1" ht="15.75" customHeight="1">
      <c r="B76" s="371"/>
      <c r="C76" s="371"/>
      <c r="D76" s="371"/>
      <c r="E76" s="371"/>
      <c r="F76" s="371"/>
      <c r="G76" s="371"/>
    </row>
    <row r="77" spans="2:7" s="6" customFormat="1" ht="15.75" customHeight="1">
      <c r="B77" s="371"/>
      <c r="C77" s="371"/>
      <c r="D77" s="371"/>
      <c r="E77" s="371"/>
      <c r="F77" s="371"/>
      <c r="G77" s="371"/>
    </row>
    <row r="78" spans="2:7" s="6" customFormat="1" ht="15.75" customHeight="1">
      <c r="B78" s="371"/>
      <c r="C78" s="371"/>
      <c r="D78" s="371"/>
      <c r="E78" s="371"/>
      <c r="F78" s="371"/>
      <c r="G78" s="371"/>
    </row>
    <row r="79" spans="2:7" s="6" customFormat="1" ht="15.75" customHeight="1">
      <c r="B79" s="371"/>
      <c r="C79" s="371"/>
      <c r="D79" s="371"/>
      <c r="E79" s="371"/>
      <c r="F79" s="371"/>
      <c r="G79" s="371"/>
    </row>
    <row r="80" spans="2:7" s="6" customFormat="1" ht="15.75" customHeight="1">
      <c r="B80" s="371"/>
      <c r="C80" s="371"/>
      <c r="D80" s="371"/>
      <c r="E80" s="371"/>
      <c r="F80" s="371"/>
      <c r="G80" s="371"/>
    </row>
    <row r="81" spans="2:7" s="6" customFormat="1" ht="15.75" customHeight="1">
      <c r="B81" s="371"/>
      <c r="C81" s="371"/>
      <c r="D81" s="371"/>
      <c r="E81" s="371"/>
      <c r="F81" s="371"/>
      <c r="G81" s="371"/>
    </row>
    <row r="82" spans="2:7" s="6" customFormat="1" ht="15.75" customHeight="1">
      <c r="B82" s="371"/>
      <c r="C82" s="371"/>
      <c r="D82" s="371"/>
      <c r="E82" s="371"/>
      <c r="F82" s="371"/>
      <c r="G82" s="371"/>
    </row>
    <row r="83" spans="2:7" s="6" customFormat="1" ht="15.75" customHeight="1">
      <c r="B83" s="371"/>
      <c r="C83" s="371"/>
      <c r="D83" s="371"/>
      <c r="E83" s="371"/>
      <c r="F83" s="371"/>
      <c r="G83" s="371"/>
    </row>
    <row r="84" spans="2:7" s="6" customFormat="1" ht="15.75" customHeight="1">
      <c r="B84" s="371"/>
      <c r="C84" s="371"/>
      <c r="D84" s="371"/>
      <c r="E84" s="371"/>
      <c r="F84" s="371"/>
      <c r="G84" s="371"/>
    </row>
    <row r="85" spans="2:7" s="6" customFormat="1" ht="15.75" customHeight="1">
      <c r="B85" s="371"/>
      <c r="C85" s="371"/>
      <c r="D85" s="371"/>
      <c r="E85" s="371"/>
      <c r="F85" s="371"/>
      <c r="G85" s="371"/>
    </row>
    <row r="86" spans="2:7" s="6" customFormat="1" ht="15.75" customHeight="1">
      <c r="B86" s="371"/>
      <c r="C86" s="371"/>
      <c r="D86" s="371"/>
      <c r="E86" s="371"/>
      <c r="F86" s="371"/>
      <c r="G86" s="371"/>
    </row>
    <row r="87" spans="2:7" s="6" customFormat="1" ht="15.75" customHeight="1">
      <c r="B87" s="371"/>
      <c r="C87" s="371"/>
      <c r="D87" s="371"/>
      <c r="E87" s="371"/>
      <c r="F87" s="371"/>
      <c r="G87" s="371"/>
    </row>
    <row r="88" spans="2:7" s="6" customFormat="1" ht="15.75" customHeight="1">
      <c r="B88" s="371"/>
      <c r="C88" s="371"/>
      <c r="D88" s="371"/>
      <c r="E88" s="371"/>
      <c r="F88" s="371"/>
      <c r="G88" s="371"/>
    </row>
    <row r="89" spans="2:7" s="6" customFormat="1" ht="15.75" customHeight="1">
      <c r="B89" s="371"/>
      <c r="C89" s="371"/>
      <c r="D89" s="371"/>
      <c r="E89" s="371"/>
      <c r="F89" s="371"/>
      <c r="G89" s="371"/>
    </row>
    <row r="90" spans="2:7" s="6" customFormat="1" ht="15.75" customHeight="1">
      <c r="B90" s="371"/>
      <c r="C90" s="371"/>
      <c r="D90" s="371"/>
      <c r="E90" s="371"/>
      <c r="F90" s="371"/>
      <c r="G90" s="371"/>
    </row>
    <row r="91" spans="2:7" s="6" customFormat="1" ht="15.75" customHeight="1">
      <c r="B91" s="371"/>
      <c r="C91" s="371"/>
      <c r="D91" s="371"/>
      <c r="E91" s="371"/>
      <c r="F91" s="371"/>
      <c r="G91" s="371"/>
    </row>
    <row r="92" spans="2:7" s="6" customFormat="1" ht="15.75" customHeight="1">
      <c r="B92" s="371"/>
      <c r="C92" s="371"/>
      <c r="D92" s="371"/>
      <c r="E92" s="371"/>
      <c r="F92" s="371"/>
      <c r="G92" s="371"/>
    </row>
    <row r="93" spans="2:7" s="6" customFormat="1" ht="15.75" customHeight="1">
      <c r="B93" s="371"/>
      <c r="C93" s="371"/>
      <c r="D93" s="371"/>
      <c r="E93" s="371"/>
      <c r="F93" s="371"/>
      <c r="G93" s="371"/>
    </row>
    <row r="94" spans="2:7" s="6" customFormat="1" ht="15.75" customHeight="1">
      <c r="B94" s="371"/>
      <c r="C94" s="371"/>
      <c r="D94" s="371"/>
      <c r="E94" s="371"/>
      <c r="F94" s="371"/>
      <c r="G94" s="371"/>
    </row>
    <row r="95" spans="2:7" s="6" customFormat="1" ht="15.75" customHeight="1">
      <c r="B95" s="371"/>
      <c r="C95" s="371"/>
      <c r="D95" s="371"/>
      <c r="E95" s="371"/>
      <c r="F95" s="371"/>
      <c r="G95" s="371"/>
    </row>
    <row r="96" spans="2:7" s="6" customFormat="1" ht="15.75" customHeight="1">
      <c r="B96" s="371"/>
      <c r="C96" s="371"/>
      <c r="D96" s="371"/>
      <c r="E96" s="371"/>
      <c r="F96" s="371"/>
      <c r="G96" s="371"/>
    </row>
    <row r="97" spans="2:7" s="6" customFormat="1" ht="15.75" customHeight="1">
      <c r="B97" s="371"/>
      <c r="C97" s="371"/>
      <c r="D97" s="371"/>
      <c r="E97" s="371"/>
      <c r="F97" s="371"/>
      <c r="G97" s="371"/>
    </row>
    <row r="98" spans="2:7" s="6" customFormat="1" ht="15.75" customHeight="1">
      <c r="B98" s="371"/>
      <c r="C98" s="371"/>
      <c r="D98" s="371"/>
      <c r="E98" s="371"/>
      <c r="F98" s="371"/>
      <c r="G98" s="371"/>
    </row>
    <row r="99" spans="2:7" s="6" customFormat="1" ht="15.75" customHeight="1">
      <c r="B99" s="371"/>
      <c r="C99" s="371"/>
      <c r="D99" s="371"/>
      <c r="E99" s="371"/>
      <c r="F99" s="371"/>
      <c r="G99" s="371"/>
    </row>
    <row r="100" spans="2:7" s="6" customFormat="1" ht="15.75" customHeight="1">
      <c r="B100" s="371"/>
      <c r="C100" s="371"/>
      <c r="D100" s="371"/>
      <c r="E100" s="371"/>
      <c r="F100" s="371"/>
      <c r="G100" s="371"/>
    </row>
    <row r="101" spans="2:7" s="6" customFormat="1" ht="15.75" customHeight="1">
      <c r="B101" s="371"/>
      <c r="C101" s="371"/>
      <c r="D101" s="371"/>
      <c r="E101" s="371"/>
      <c r="F101" s="371"/>
      <c r="G101" s="371"/>
    </row>
    <row r="102" spans="2:7" s="6" customFormat="1" ht="15.75" customHeight="1">
      <c r="B102" s="371"/>
      <c r="C102" s="371"/>
      <c r="D102" s="371"/>
      <c r="E102" s="371"/>
      <c r="F102" s="371"/>
      <c r="G102" s="371"/>
    </row>
    <row r="103" spans="2:7" s="6" customFormat="1" ht="15.75" customHeight="1">
      <c r="B103" s="371"/>
      <c r="C103" s="371"/>
      <c r="D103" s="371"/>
      <c r="E103" s="371"/>
      <c r="F103" s="371"/>
      <c r="G103" s="371"/>
    </row>
    <row r="104" spans="2:7" s="6" customFormat="1" ht="15.75" customHeight="1">
      <c r="B104" s="371"/>
      <c r="C104" s="371"/>
      <c r="D104" s="371"/>
      <c r="E104" s="371"/>
      <c r="F104" s="371"/>
      <c r="G104" s="371"/>
    </row>
    <row r="105" spans="2:7" s="6" customFormat="1" ht="15.75" customHeight="1">
      <c r="B105" s="371"/>
      <c r="C105" s="371"/>
      <c r="D105" s="371"/>
      <c r="E105" s="371"/>
      <c r="F105" s="371"/>
      <c r="G105" s="371"/>
    </row>
    <row r="106" spans="2:7" s="6" customFormat="1" ht="15.75" customHeight="1">
      <c r="B106" s="371"/>
      <c r="C106" s="371"/>
      <c r="D106" s="371"/>
      <c r="E106" s="371"/>
      <c r="F106" s="371"/>
      <c r="G106" s="371"/>
    </row>
    <row r="107" spans="2:7" s="6" customFormat="1" ht="15.75" customHeight="1">
      <c r="B107" s="371"/>
      <c r="C107" s="371"/>
      <c r="D107" s="371"/>
      <c r="E107" s="371"/>
      <c r="F107" s="371"/>
      <c r="G107" s="371"/>
    </row>
    <row r="108" spans="2:7" s="6" customFormat="1" ht="15.75" customHeight="1">
      <c r="B108" s="371"/>
      <c r="C108" s="371"/>
      <c r="D108" s="371"/>
      <c r="E108" s="371"/>
      <c r="F108" s="371"/>
      <c r="G108" s="371"/>
    </row>
    <row r="109" spans="2:7" s="6" customFormat="1" ht="15.75" customHeight="1">
      <c r="B109" s="371"/>
      <c r="C109" s="371"/>
      <c r="D109" s="371"/>
      <c r="E109" s="371"/>
      <c r="F109" s="371"/>
      <c r="G109" s="371"/>
    </row>
    <row r="110" spans="2:7" s="6" customFormat="1" ht="15.75" customHeight="1">
      <c r="B110" s="371"/>
      <c r="C110" s="371"/>
      <c r="D110" s="371"/>
      <c r="E110" s="371"/>
      <c r="F110" s="371"/>
      <c r="G110" s="371"/>
    </row>
    <row r="111" spans="2:7" s="6" customFormat="1" ht="15.75" customHeight="1">
      <c r="B111" s="371"/>
      <c r="C111" s="371"/>
      <c r="D111" s="371"/>
      <c r="E111" s="371"/>
      <c r="F111" s="371"/>
      <c r="G111" s="371"/>
    </row>
    <row r="112" spans="2:7" s="6" customFormat="1" ht="15.75" customHeight="1">
      <c r="B112" s="371"/>
      <c r="C112" s="371"/>
      <c r="D112" s="371"/>
      <c r="E112" s="371"/>
      <c r="F112" s="371"/>
      <c r="G112" s="371"/>
    </row>
    <row r="113" spans="2:7" s="6" customFormat="1" ht="15.75" customHeight="1">
      <c r="B113" s="371"/>
      <c r="C113" s="371"/>
      <c r="D113" s="371"/>
      <c r="E113" s="371"/>
      <c r="F113" s="371"/>
      <c r="G113" s="371"/>
    </row>
    <row r="114" spans="2:7" s="6" customFormat="1" ht="15.75" customHeight="1">
      <c r="B114" s="371"/>
      <c r="C114" s="371"/>
      <c r="D114" s="371"/>
      <c r="E114" s="371"/>
      <c r="F114" s="371"/>
      <c r="G114" s="371"/>
    </row>
    <row r="115" spans="2:7" s="6" customFormat="1" ht="15.75" customHeight="1">
      <c r="B115" s="371"/>
      <c r="C115" s="371"/>
      <c r="D115" s="371"/>
      <c r="E115" s="371"/>
      <c r="F115" s="371"/>
      <c r="G115" s="371"/>
    </row>
    <row r="116" spans="2:7" s="6" customFormat="1" ht="15.75" customHeight="1">
      <c r="B116" s="371"/>
      <c r="C116" s="371"/>
      <c r="D116" s="371"/>
      <c r="E116" s="371"/>
      <c r="F116" s="371"/>
      <c r="G116" s="371"/>
    </row>
    <row r="117" spans="2:7" s="6" customFormat="1" ht="15.75" customHeight="1">
      <c r="B117" s="371"/>
      <c r="C117" s="371"/>
      <c r="D117" s="371"/>
      <c r="E117" s="371"/>
      <c r="F117" s="371"/>
      <c r="G117" s="371"/>
    </row>
    <row r="118" spans="2:7" s="6" customFormat="1" ht="15.75" customHeight="1">
      <c r="B118" s="371"/>
      <c r="C118" s="371"/>
      <c r="D118" s="371"/>
      <c r="E118" s="371"/>
      <c r="F118" s="371"/>
      <c r="G118" s="371"/>
    </row>
    <row r="119" spans="2:7" s="6" customFormat="1" ht="15.75" customHeight="1">
      <c r="B119" s="371"/>
      <c r="C119" s="371"/>
      <c r="D119" s="371"/>
      <c r="E119" s="371"/>
      <c r="F119" s="371"/>
      <c r="G119" s="371"/>
    </row>
    <row r="120" spans="2:7" s="6" customFormat="1" ht="15.75" customHeight="1">
      <c r="B120" s="371"/>
      <c r="C120" s="371"/>
      <c r="D120" s="371"/>
      <c r="E120" s="371"/>
      <c r="F120" s="371"/>
      <c r="G120" s="371"/>
    </row>
    <row r="121" spans="2:7" s="6" customFormat="1" ht="15.75" customHeight="1">
      <c r="B121" s="371"/>
      <c r="C121" s="371"/>
      <c r="D121" s="371"/>
      <c r="E121" s="371"/>
      <c r="F121" s="371"/>
      <c r="G121" s="371"/>
    </row>
    <row r="122" spans="2:7" s="6" customFormat="1" ht="15.75" customHeight="1">
      <c r="B122" s="371"/>
      <c r="C122" s="371"/>
      <c r="D122" s="371"/>
      <c r="E122" s="371"/>
      <c r="F122" s="371"/>
      <c r="G122" s="371"/>
    </row>
    <row r="123" spans="2:7" s="6" customFormat="1" ht="15.75" customHeight="1">
      <c r="B123" s="371"/>
      <c r="C123" s="371"/>
      <c r="D123" s="371"/>
      <c r="E123" s="371"/>
      <c r="F123" s="371"/>
      <c r="G123" s="371"/>
    </row>
    <row r="124" spans="2:7" s="6" customFormat="1" ht="15.75" customHeight="1">
      <c r="B124" s="371"/>
      <c r="C124" s="371"/>
      <c r="D124" s="371"/>
      <c r="E124" s="371"/>
      <c r="F124" s="371"/>
      <c r="G124" s="371"/>
    </row>
    <row r="125" spans="2:7" s="6" customFormat="1" ht="15.75" customHeight="1">
      <c r="B125" s="371"/>
      <c r="C125" s="371"/>
      <c r="D125" s="371"/>
      <c r="E125" s="371"/>
      <c r="F125" s="371"/>
      <c r="G125" s="371"/>
    </row>
    <row r="126" spans="2:7" s="6" customFormat="1" ht="15.75" customHeight="1">
      <c r="B126" s="371"/>
      <c r="C126" s="371"/>
      <c r="D126" s="371"/>
      <c r="E126" s="371"/>
      <c r="F126" s="371"/>
      <c r="G126" s="371"/>
    </row>
    <row r="127" spans="2:7" s="6" customFormat="1" ht="15.75" customHeight="1">
      <c r="B127" s="371"/>
      <c r="C127" s="371"/>
      <c r="D127" s="371"/>
      <c r="E127" s="371"/>
      <c r="F127" s="371"/>
      <c r="G127" s="371"/>
    </row>
    <row r="128" spans="2:7" s="6" customFormat="1" ht="15.75" customHeight="1">
      <c r="B128" s="371"/>
      <c r="C128" s="371"/>
      <c r="D128" s="371"/>
      <c r="E128" s="371"/>
      <c r="F128" s="371"/>
      <c r="G128" s="371"/>
    </row>
    <row r="129" spans="2:7" s="6" customFormat="1" ht="15.75" customHeight="1">
      <c r="B129" s="371"/>
      <c r="C129" s="371"/>
      <c r="D129" s="371"/>
      <c r="E129" s="371"/>
      <c r="F129" s="371"/>
      <c r="G129" s="371"/>
    </row>
    <row r="130" spans="2:7" s="6" customFormat="1" ht="15.75" customHeight="1">
      <c r="B130" s="371"/>
      <c r="C130" s="371"/>
      <c r="D130" s="371"/>
      <c r="E130" s="371"/>
      <c r="F130" s="371"/>
      <c r="G130" s="371"/>
    </row>
    <row r="131" spans="2:7" s="6" customFormat="1" ht="15.75" customHeight="1">
      <c r="B131" s="371"/>
      <c r="C131" s="371"/>
      <c r="D131" s="371"/>
      <c r="E131" s="371"/>
      <c r="F131" s="371"/>
      <c r="G131" s="371"/>
    </row>
    <row r="132" spans="2:7" s="6" customFormat="1" ht="15.75" customHeight="1">
      <c r="B132" s="371"/>
      <c r="C132" s="371"/>
      <c r="D132" s="371"/>
      <c r="E132" s="371"/>
      <c r="F132" s="371"/>
      <c r="G132" s="371"/>
    </row>
    <row r="133" spans="2:7" s="6" customFormat="1" ht="15.75" customHeight="1">
      <c r="B133" s="371"/>
      <c r="C133" s="371"/>
      <c r="D133" s="371"/>
      <c r="E133" s="371"/>
      <c r="F133" s="371"/>
      <c r="G133" s="371"/>
    </row>
    <row r="134" spans="2:7" s="6" customFormat="1" ht="15.75" customHeight="1">
      <c r="B134" s="371"/>
      <c r="C134" s="371"/>
      <c r="D134" s="371"/>
      <c r="E134" s="371"/>
      <c r="F134" s="371"/>
      <c r="G134" s="371"/>
    </row>
    <row r="135" spans="2:7" s="6" customFormat="1" ht="14.25">
      <c r="B135" s="371"/>
      <c r="C135" s="371"/>
      <c r="D135" s="371"/>
      <c r="E135" s="371"/>
      <c r="F135" s="371"/>
      <c r="G135" s="371"/>
    </row>
    <row r="136" spans="2:7" s="6" customFormat="1" ht="14.25">
      <c r="B136" s="371"/>
      <c r="C136" s="371"/>
      <c r="D136" s="371"/>
      <c r="E136" s="371"/>
      <c r="F136" s="371"/>
      <c r="G136" s="371"/>
    </row>
    <row r="137" spans="2:7" s="6" customFormat="1" ht="14.25">
      <c r="B137" s="371"/>
      <c r="C137" s="371"/>
      <c r="D137" s="371"/>
      <c r="E137" s="371"/>
      <c r="F137" s="371"/>
      <c r="G137" s="371"/>
    </row>
    <row r="138" spans="2:7" s="6" customFormat="1" ht="14.25">
      <c r="B138" s="371"/>
      <c r="C138" s="371"/>
      <c r="D138" s="371"/>
      <c r="E138" s="371"/>
      <c r="F138" s="371"/>
      <c r="G138" s="371"/>
    </row>
    <row r="139" spans="2:7" s="6" customFormat="1" ht="14.25">
      <c r="B139" s="371"/>
      <c r="C139" s="371"/>
      <c r="D139" s="371"/>
      <c r="E139" s="371"/>
      <c r="F139" s="371"/>
      <c r="G139" s="371"/>
    </row>
    <row r="140" spans="2:7" s="6" customFormat="1" ht="14.25">
      <c r="B140" s="371"/>
      <c r="C140" s="371"/>
      <c r="D140" s="371"/>
      <c r="E140" s="371"/>
      <c r="F140" s="371"/>
      <c r="G140" s="371"/>
    </row>
    <row r="141" spans="2:7" s="6" customFormat="1" ht="14.25">
      <c r="B141" s="371"/>
      <c r="C141" s="371"/>
      <c r="D141" s="371"/>
      <c r="E141" s="371"/>
      <c r="F141" s="371"/>
      <c r="G141" s="371"/>
    </row>
    <row r="142" spans="2:7" s="6" customFormat="1" ht="14.25">
      <c r="B142" s="371"/>
      <c r="C142" s="371"/>
      <c r="D142" s="371"/>
      <c r="E142" s="371"/>
      <c r="F142" s="371"/>
      <c r="G142" s="371"/>
    </row>
    <row r="143" spans="2:7" s="6" customFormat="1" ht="14.25">
      <c r="B143" s="371"/>
      <c r="C143" s="371"/>
      <c r="D143" s="371"/>
      <c r="E143" s="371"/>
      <c r="F143" s="371"/>
      <c r="G143" s="371"/>
    </row>
    <row r="144" spans="2:7" s="6" customFormat="1" ht="14.25">
      <c r="B144" s="371"/>
      <c r="C144" s="371"/>
      <c r="D144" s="371"/>
      <c r="E144" s="371"/>
      <c r="F144" s="371"/>
      <c r="G144" s="371"/>
    </row>
    <row r="145" spans="2:7" s="6" customFormat="1" ht="14.25">
      <c r="B145" s="371"/>
      <c r="C145" s="371"/>
      <c r="D145" s="371"/>
      <c r="E145" s="371"/>
      <c r="F145" s="371"/>
      <c r="G145" s="371"/>
    </row>
    <row r="146" spans="2:7" s="6" customFormat="1" ht="14.25">
      <c r="B146" s="371"/>
      <c r="C146" s="371"/>
      <c r="D146" s="371"/>
      <c r="E146" s="371"/>
      <c r="F146" s="371"/>
      <c r="G146" s="371"/>
    </row>
    <row r="147" spans="2:7" s="6" customFormat="1" ht="14.25">
      <c r="B147" s="371"/>
      <c r="C147" s="371"/>
      <c r="D147" s="371"/>
      <c r="E147" s="371"/>
      <c r="F147" s="371"/>
      <c r="G147" s="371"/>
    </row>
    <row r="148" spans="2:7" s="6" customFormat="1" ht="14.25">
      <c r="B148" s="371"/>
      <c r="C148" s="371"/>
      <c r="D148" s="371"/>
      <c r="E148" s="371"/>
      <c r="F148" s="371"/>
      <c r="G148" s="371"/>
    </row>
    <row r="149" spans="2:7" s="6" customFormat="1" ht="14.25">
      <c r="B149" s="371"/>
      <c r="C149" s="371"/>
      <c r="D149" s="371"/>
      <c r="E149" s="371"/>
      <c r="F149" s="371"/>
      <c r="G149" s="371"/>
    </row>
    <row r="150" spans="2:7" s="6" customFormat="1" ht="14.25">
      <c r="B150" s="371"/>
      <c r="C150" s="371"/>
      <c r="D150" s="371"/>
      <c r="E150" s="371"/>
      <c r="F150" s="371"/>
      <c r="G150" s="371"/>
    </row>
    <row r="151" spans="2:7" s="6" customFormat="1" ht="14.25">
      <c r="B151" s="371"/>
      <c r="C151" s="371"/>
      <c r="D151" s="371"/>
      <c r="E151" s="371"/>
      <c r="F151" s="371"/>
      <c r="G151" s="371"/>
    </row>
    <row r="152" spans="2:7" s="6" customFormat="1" ht="14.25">
      <c r="B152" s="371"/>
      <c r="C152" s="371"/>
      <c r="D152" s="371"/>
      <c r="E152" s="371"/>
      <c r="F152" s="371"/>
      <c r="G152" s="371"/>
    </row>
    <row r="153" spans="2:7" s="6" customFormat="1" ht="14.25">
      <c r="B153" s="371"/>
      <c r="C153" s="371"/>
      <c r="D153" s="371"/>
      <c r="E153" s="371"/>
      <c r="F153" s="371"/>
      <c r="G153" s="371"/>
    </row>
    <row r="154" spans="2:7" s="6" customFormat="1" ht="14.25">
      <c r="B154" s="371"/>
      <c r="C154" s="371"/>
      <c r="D154" s="371"/>
      <c r="E154" s="371"/>
      <c r="F154" s="371"/>
      <c r="G154" s="371"/>
    </row>
    <row r="155" spans="2:7" s="6" customFormat="1" ht="14.25">
      <c r="B155" s="371"/>
      <c r="C155" s="371"/>
      <c r="D155" s="371"/>
      <c r="E155" s="371"/>
      <c r="F155" s="371"/>
      <c r="G155" s="371"/>
    </row>
    <row r="156" spans="2:7" s="6" customFormat="1" ht="14.25">
      <c r="B156" s="371"/>
      <c r="C156" s="371"/>
      <c r="D156" s="371"/>
      <c r="E156" s="371"/>
      <c r="F156" s="371"/>
      <c r="G156" s="371"/>
    </row>
    <row r="157" spans="2:7" s="6" customFormat="1" ht="14.25">
      <c r="B157" s="371"/>
      <c r="C157" s="371"/>
      <c r="D157" s="371"/>
      <c r="E157" s="371"/>
      <c r="F157" s="371"/>
      <c r="G157" s="371"/>
    </row>
    <row r="158" spans="2:7" s="6" customFormat="1" ht="14.25">
      <c r="B158" s="371"/>
      <c r="C158" s="371"/>
      <c r="D158" s="371"/>
      <c r="E158" s="371"/>
      <c r="F158" s="371"/>
      <c r="G158" s="371"/>
    </row>
    <row r="159" spans="2:7" s="6" customFormat="1" ht="14.25">
      <c r="B159" s="371"/>
      <c r="C159" s="371"/>
      <c r="D159" s="371"/>
      <c r="E159" s="371"/>
      <c r="F159" s="371"/>
      <c r="G159" s="371"/>
    </row>
    <row r="160" spans="2:7" s="6" customFormat="1" ht="14.25">
      <c r="B160" s="371"/>
      <c r="C160" s="371"/>
      <c r="D160" s="371"/>
      <c r="E160" s="371"/>
      <c r="F160" s="371"/>
      <c r="G160" s="371"/>
    </row>
    <row r="161" spans="2:7" s="6" customFormat="1" ht="14.25">
      <c r="B161" s="371"/>
      <c r="C161" s="371"/>
      <c r="D161" s="371"/>
      <c r="E161" s="371"/>
      <c r="F161" s="371"/>
      <c r="G161" s="371"/>
    </row>
    <row r="162" spans="2:7" s="6" customFormat="1" ht="14.25">
      <c r="B162" s="371"/>
      <c r="C162" s="371"/>
      <c r="D162" s="371"/>
      <c r="E162" s="371"/>
      <c r="F162" s="371"/>
      <c r="G162" s="371"/>
    </row>
    <row r="163" spans="2:7" s="6" customFormat="1" ht="14.25">
      <c r="B163" s="371"/>
      <c r="C163" s="371"/>
      <c r="D163" s="371"/>
      <c r="E163" s="371"/>
      <c r="F163" s="371"/>
      <c r="G163" s="371"/>
    </row>
    <row r="164" spans="2:7" s="6" customFormat="1" ht="14.25">
      <c r="B164" s="371"/>
      <c r="C164" s="371"/>
      <c r="D164" s="371"/>
      <c r="E164" s="371"/>
      <c r="F164" s="371"/>
      <c r="G164" s="371"/>
    </row>
    <row r="165" spans="2:7" s="6" customFormat="1" ht="14.25">
      <c r="B165" s="371"/>
      <c r="C165" s="371"/>
      <c r="D165" s="371"/>
      <c r="E165" s="371"/>
      <c r="F165" s="371"/>
      <c r="G165" s="371"/>
    </row>
    <row r="166" spans="2:7" s="6" customFormat="1" ht="14.25">
      <c r="B166" s="371"/>
      <c r="C166" s="371"/>
      <c r="D166" s="371"/>
      <c r="E166" s="371"/>
      <c r="F166" s="371"/>
      <c r="G166" s="371"/>
    </row>
    <row r="167" spans="2:7" s="6" customFormat="1" ht="14.25">
      <c r="B167" s="371"/>
      <c r="C167" s="371"/>
      <c r="D167" s="371"/>
      <c r="E167" s="371"/>
      <c r="F167" s="371"/>
      <c r="G167" s="371"/>
    </row>
    <row r="168" spans="2:7" s="6" customFormat="1" ht="14.25">
      <c r="B168" s="371"/>
      <c r="C168" s="371"/>
      <c r="D168" s="371"/>
      <c r="E168" s="371"/>
      <c r="F168" s="371"/>
      <c r="G168" s="371"/>
    </row>
    <row r="169" spans="2:7" s="6" customFormat="1" ht="14.25">
      <c r="B169" s="371"/>
      <c r="C169" s="371"/>
      <c r="D169" s="371"/>
      <c r="E169" s="371"/>
      <c r="F169" s="371"/>
      <c r="G169" s="371"/>
    </row>
    <row r="170" spans="2:7" s="6" customFormat="1" ht="14.25">
      <c r="B170" s="371"/>
      <c r="C170" s="371"/>
      <c r="D170" s="371"/>
      <c r="E170" s="371"/>
      <c r="F170" s="371"/>
      <c r="G170" s="371"/>
    </row>
    <row r="171" spans="2:7" s="6" customFormat="1" ht="14.25">
      <c r="B171" s="371"/>
      <c r="C171" s="371"/>
      <c r="D171" s="371"/>
      <c r="E171" s="371"/>
      <c r="F171" s="371"/>
      <c r="G171" s="371"/>
    </row>
    <row r="172" spans="2:7" s="6" customFormat="1" ht="14.25">
      <c r="B172" s="371"/>
      <c r="C172" s="371"/>
      <c r="D172" s="371"/>
      <c r="E172" s="371"/>
      <c r="F172" s="371"/>
      <c r="G172" s="371"/>
    </row>
    <row r="173" spans="2:7" s="6" customFormat="1" ht="14.25">
      <c r="B173" s="371"/>
      <c r="C173" s="371"/>
      <c r="D173" s="371"/>
      <c r="E173" s="371"/>
      <c r="F173" s="371"/>
      <c r="G173" s="371"/>
    </row>
    <row r="174" spans="2:7" s="6" customFormat="1" ht="14.25">
      <c r="B174" s="371"/>
      <c r="C174" s="371"/>
      <c r="D174" s="371"/>
      <c r="E174" s="371"/>
      <c r="F174" s="371"/>
      <c r="G174" s="371"/>
    </row>
    <row r="175" spans="2:7" s="6" customFormat="1" ht="14.25">
      <c r="B175" s="371"/>
      <c r="C175" s="371"/>
      <c r="D175" s="371"/>
      <c r="E175" s="371"/>
      <c r="F175" s="371"/>
      <c r="G175" s="371"/>
    </row>
    <row r="176" spans="2:7" s="6" customFormat="1" ht="14.25">
      <c r="B176" s="371"/>
      <c r="C176" s="371"/>
      <c r="D176" s="371"/>
      <c r="E176" s="371"/>
      <c r="F176" s="371"/>
      <c r="G176" s="371"/>
    </row>
    <row r="177" spans="2:7" s="6" customFormat="1" ht="14.25">
      <c r="B177" s="371"/>
      <c r="C177" s="371"/>
      <c r="D177" s="371"/>
      <c r="E177" s="371"/>
      <c r="F177" s="371"/>
      <c r="G177" s="371"/>
    </row>
    <row r="178" spans="2:7" s="6" customFormat="1" ht="14.25">
      <c r="B178" s="371"/>
      <c r="C178" s="371"/>
      <c r="D178" s="371"/>
      <c r="E178" s="371"/>
      <c r="F178" s="371"/>
      <c r="G178" s="371"/>
    </row>
    <row r="179" spans="2:7" s="6" customFormat="1" ht="14.25">
      <c r="B179" s="371"/>
      <c r="C179" s="371"/>
      <c r="D179" s="371"/>
      <c r="E179" s="371"/>
      <c r="F179" s="371"/>
      <c r="G179" s="371"/>
    </row>
    <row r="180" spans="2:7" s="6" customFormat="1" ht="14.25">
      <c r="B180" s="371"/>
      <c r="C180" s="371"/>
      <c r="D180" s="371"/>
      <c r="E180" s="371"/>
      <c r="F180" s="371"/>
      <c r="G180" s="371"/>
    </row>
    <row r="181" spans="2:7" s="6" customFormat="1" ht="14.25">
      <c r="B181" s="371"/>
      <c r="C181" s="371"/>
      <c r="D181" s="371"/>
      <c r="E181" s="371"/>
      <c r="F181" s="371"/>
      <c r="G181" s="371"/>
    </row>
    <row r="182" spans="2:7" s="6" customFormat="1" ht="14.25">
      <c r="B182" s="371"/>
      <c r="C182" s="371"/>
      <c r="D182" s="371"/>
      <c r="E182" s="371"/>
      <c r="F182" s="371"/>
      <c r="G182" s="371"/>
    </row>
    <row r="183" spans="2:7" s="6" customFormat="1" ht="14.25">
      <c r="B183" s="371"/>
      <c r="C183" s="371"/>
      <c r="D183" s="371"/>
      <c r="E183" s="371"/>
      <c r="F183" s="371"/>
      <c r="G183" s="371"/>
    </row>
    <row r="184" spans="2:7" s="6" customFormat="1" ht="14.25">
      <c r="B184" s="371"/>
      <c r="C184" s="371"/>
      <c r="D184" s="371"/>
      <c r="E184" s="371"/>
      <c r="F184" s="371"/>
      <c r="G184" s="371"/>
    </row>
    <row r="185" spans="2:7" s="6" customFormat="1" ht="14.25">
      <c r="B185" s="371"/>
      <c r="C185" s="371"/>
      <c r="D185" s="371"/>
      <c r="E185" s="371"/>
      <c r="F185" s="371"/>
      <c r="G185" s="371"/>
    </row>
    <row r="186" spans="2:7" s="6" customFormat="1" ht="14.25">
      <c r="B186" s="371"/>
      <c r="C186" s="371"/>
      <c r="D186" s="371"/>
      <c r="E186" s="371"/>
      <c r="F186" s="371"/>
      <c r="G186" s="371"/>
    </row>
    <row r="187" spans="2:7" s="6" customFormat="1" ht="14.25">
      <c r="B187" s="371"/>
      <c r="C187" s="371"/>
      <c r="D187" s="371"/>
      <c r="E187" s="371"/>
      <c r="F187" s="371"/>
      <c r="G187" s="371"/>
    </row>
    <row r="188" spans="2:7" s="6" customFormat="1" ht="14.25">
      <c r="B188" s="371"/>
      <c r="C188" s="371"/>
      <c r="D188" s="371"/>
      <c r="E188" s="371"/>
      <c r="F188" s="371"/>
      <c r="G188" s="371"/>
    </row>
    <row r="189" spans="2:7" s="6" customFormat="1" ht="14.25">
      <c r="B189" s="371"/>
      <c r="C189" s="371"/>
      <c r="D189" s="371"/>
      <c r="E189" s="371"/>
      <c r="F189" s="371"/>
      <c r="G189" s="371"/>
    </row>
    <row r="190" spans="2:7" s="6" customFormat="1" ht="14.25">
      <c r="B190" s="371"/>
      <c r="C190" s="371"/>
      <c r="D190" s="371"/>
      <c r="E190" s="371"/>
      <c r="F190" s="371"/>
      <c r="G190" s="371"/>
    </row>
    <row r="191" spans="2:7" s="6" customFormat="1" ht="14.25">
      <c r="B191" s="371"/>
      <c r="C191" s="371"/>
      <c r="D191" s="371"/>
      <c r="E191" s="371"/>
      <c r="F191" s="371"/>
      <c r="G191" s="371"/>
    </row>
  </sheetData>
  <mergeCells count="1">
    <mergeCell ref="A32:G33"/>
  </mergeCells>
  <printOptions horizontalCentered="1"/>
  <pageMargins left="0.5" right="0.5" top="0.5" bottom="0.5" header="0.5" footer="0"/>
  <pageSetup horizontalDpi="600" verticalDpi="600" orientation="landscape" scale="80"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dimension ref="A1:V39"/>
  <sheetViews>
    <sheetView zoomScale="75" zoomScaleNormal="75" workbookViewId="0" topLeftCell="B14">
      <selection activeCell="D13" sqref="D13"/>
    </sheetView>
  </sheetViews>
  <sheetFormatPr defaultColWidth="9.140625" defaultRowHeight="12.75"/>
  <cols>
    <col min="1" max="1" width="40.00390625" style="1" customWidth="1"/>
    <col min="2" max="7" width="17.7109375" style="352" customWidth="1"/>
    <col min="8" max="8" width="15.8515625" style="1" customWidth="1"/>
    <col min="9" max="9" width="11.421875" style="1" bestFit="1" customWidth="1"/>
    <col min="10" max="16384" width="9.140625" style="1" customWidth="1"/>
  </cols>
  <sheetData>
    <row r="1" spans="1:7" s="111" customFormat="1" ht="25.5">
      <c r="A1" s="110" t="s">
        <v>177</v>
      </c>
      <c r="B1" s="354"/>
      <c r="C1" s="354"/>
      <c r="D1" s="354"/>
      <c r="E1" s="354"/>
      <c r="F1" s="354"/>
      <c r="G1" s="355"/>
    </row>
    <row r="2" spans="1:7" s="40" customFormat="1" ht="18" customHeight="1">
      <c r="A2" s="16"/>
      <c r="B2" s="356"/>
      <c r="C2" s="356"/>
      <c r="D2" s="356"/>
      <c r="E2" s="356"/>
      <c r="F2" s="356"/>
      <c r="G2" s="357"/>
    </row>
    <row r="3" spans="1:7" ht="18" customHeight="1">
      <c r="A3" s="377" t="s">
        <v>274</v>
      </c>
      <c r="B3" s="378"/>
      <c r="C3" s="378"/>
      <c r="D3" s="378"/>
      <c r="E3" s="378"/>
      <c r="F3" s="378"/>
      <c r="G3" s="379"/>
    </row>
    <row r="4" spans="1:7" ht="15.75">
      <c r="A4" s="377" t="s">
        <v>131</v>
      </c>
      <c r="B4" s="378"/>
      <c r="C4" s="378"/>
      <c r="D4" s="378"/>
      <c r="E4" s="378"/>
      <c r="F4" s="378"/>
      <c r="G4" s="379"/>
    </row>
    <row r="5" spans="1:7" s="6" customFormat="1" ht="15">
      <c r="A5" s="447" t="s">
        <v>126</v>
      </c>
      <c r="B5" s="358"/>
      <c r="C5" s="358"/>
      <c r="D5" s="358"/>
      <c r="E5" s="358"/>
      <c r="F5" s="358"/>
      <c r="G5" s="357"/>
    </row>
    <row r="6" spans="2:7" s="6" customFormat="1" ht="45">
      <c r="B6" s="359" t="s">
        <v>30</v>
      </c>
      <c r="C6" s="359" t="s">
        <v>31</v>
      </c>
      <c r="D6" s="359" t="s">
        <v>151</v>
      </c>
      <c r="E6" s="359" t="s">
        <v>165</v>
      </c>
      <c r="F6" s="359" t="s">
        <v>143</v>
      </c>
      <c r="G6" s="360" t="s">
        <v>178</v>
      </c>
    </row>
    <row r="7" spans="1:7" s="6" customFormat="1" ht="15.75" customHeight="1">
      <c r="A7" s="42" t="s">
        <v>275</v>
      </c>
      <c r="B7" s="361"/>
      <c r="C7" s="361"/>
      <c r="D7" s="361"/>
      <c r="E7" s="361"/>
      <c r="F7" s="361"/>
      <c r="G7" s="361"/>
    </row>
    <row r="8" spans="1:8" s="44" customFormat="1" ht="15.75" customHeight="1">
      <c r="A8" s="43" t="s">
        <v>19</v>
      </c>
      <c r="B8" s="232">
        <f>-'[6]3Q03 TRIAL BALANCE'!E197</f>
        <v>11889962</v>
      </c>
      <c r="C8" s="232">
        <f>-'[6]3Q03 TRIAL BALANCE'!E196</f>
        <v>-80974</v>
      </c>
      <c r="D8" s="232">
        <f>-'[6]3Q03 TRIAL BALANCE'!E195</f>
        <v>-3095</v>
      </c>
      <c r="E8" s="232">
        <f>-'[6]3Q03 TRIAL BALANCE'!E194</f>
        <v>98</v>
      </c>
      <c r="F8" s="459">
        <v>0</v>
      </c>
      <c r="G8" s="425">
        <f>SUM(B8:F8)</f>
        <v>11805991</v>
      </c>
      <c r="H8" s="118"/>
    </row>
    <row r="9" spans="1:8" s="6" customFormat="1" ht="15.75" customHeight="1">
      <c r="A9" s="45" t="s">
        <v>290</v>
      </c>
      <c r="B9" s="424">
        <f>-'[6]3Q03 TRIAL BALANCE'!E201</f>
        <v>3926640</v>
      </c>
      <c r="C9" s="424">
        <f>-'[6]3Q03 TRIAL BALANCE'!E200</f>
        <v>-26076</v>
      </c>
      <c r="D9" s="424">
        <f>-'[6]3Q03 TRIAL BALANCE'!E199</f>
        <v>-1462</v>
      </c>
      <c r="E9" s="424">
        <f>-'[6]3Q03 TRIAL BALANCE'!E198</f>
        <v>-10</v>
      </c>
      <c r="F9" s="423">
        <v>0</v>
      </c>
      <c r="G9" s="424">
        <f>SUM(B9:F9)</f>
        <v>3899092</v>
      </c>
      <c r="H9" s="118"/>
    </row>
    <row r="10" spans="1:22" s="6" customFormat="1" ht="15.75" customHeight="1">
      <c r="A10" s="45" t="s">
        <v>0</v>
      </c>
      <c r="B10" s="424">
        <f>-'[6]3Q03 TRIAL BALANCE'!E203</f>
        <v>57787</v>
      </c>
      <c r="C10" s="424">
        <f>-'[6]3Q03 TRIAL BALANCE'!E202</f>
        <v>-757</v>
      </c>
      <c r="D10" s="423">
        <v>0</v>
      </c>
      <c r="E10" s="423">
        <v>0</v>
      </c>
      <c r="F10" s="423">
        <v>0</v>
      </c>
      <c r="G10" s="424">
        <f>SUM(B10:F10)</f>
        <v>57030</v>
      </c>
      <c r="H10" s="118"/>
      <c r="I10" s="38"/>
      <c r="J10" s="38"/>
      <c r="K10" s="38"/>
      <c r="L10" s="38"/>
      <c r="M10" s="38"/>
      <c r="N10" s="38"/>
      <c r="O10" s="38"/>
      <c r="P10" s="38"/>
      <c r="Q10" s="38"/>
      <c r="R10" s="38"/>
      <c r="S10" s="38"/>
      <c r="T10" s="38"/>
      <c r="U10" s="38"/>
      <c r="V10" s="38"/>
    </row>
    <row r="11" spans="1:22" s="23" customFormat="1" ht="15.75" customHeight="1" thickBot="1">
      <c r="A11" s="46" t="s">
        <v>279</v>
      </c>
      <c r="B11" s="426">
        <f aca="true" t="shared" si="0" ref="B11:G11">SUM(B8:B10)</f>
        <v>15874389</v>
      </c>
      <c r="C11" s="426">
        <f t="shared" si="0"/>
        <v>-107807</v>
      </c>
      <c r="D11" s="427">
        <f t="shared" si="0"/>
        <v>-4557</v>
      </c>
      <c r="E11" s="427">
        <f t="shared" si="0"/>
        <v>88</v>
      </c>
      <c r="F11" s="428">
        <f t="shared" si="0"/>
        <v>0</v>
      </c>
      <c r="G11" s="454">
        <f t="shared" si="0"/>
        <v>15762113</v>
      </c>
      <c r="H11" s="380"/>
      <c r="I11" s="380"/>
      <c r="J11" s="380"/>
      <c r="K11" s="380"/>
      <c r="L11" s="380"/>
      <c r="M11" s="380"/>
      <c r="N11" s="380"/>
      <c r="O11" s="380"/>
      <c r="P11" s="380"/>
      <c r="Q11" s="380"/>
      <c r="R11" s="380"/>
      <c r="S11" s="380"/>
      <c r="T11" s="380"/>
      <c r="U11" s="380"/>
      <c r="V11" s="380"/>
    </row>
    <row r="12" spans="1:22" s="23" customFormat="1" ht="15.75" customHeight="1" thickTop="1">
      <c r="A12" s="45"/>
      <c r="B12" s="353"/>
      <c r="C12" s="353"/>
      <c r="D12" s="353"/>
      <c r="E12" s="353"/>
      <c r="F12" s="353"/>
      <c r="G12" s="381"/>
      <c r="H12" s="382"/>
      <c r="I12" s="47"/>
      <c r="J12" s="380"/>
      <c r="K12" s="380"/>
      <c r="L12" s="380"/>
      <c r="M12" s="380"/>
      <c r="N12" s="380"/>
      <c r="O12" s="380"/>
      <c r="P12" s="380"/>
      <c r="Q12" s="380"/>
      <c r="R12" s="380"/>
      <c r="S12" s="380"/>
      <c r="T12" s="380"/>
      <c r="U12" s="380"/>
      <c r="V12" s="380"/>
    </row>
    <row r="13" spans="1:22" s="23" customFormat="1" ht="30" customHeight="1">
      <c r="A13" s="48" t="s">
        <v>135</v>
      </c>
      <c r="B13" s="353"/>
      <c r="C13" s="353"/>
      <c r="D13" s="353"/>
      <c r="E13" s="353"/>
      <c r="F13" s="353"/>
      <c r="G13" s="353"/>
      <c r="H13" s="209"/>
      <c r="I13" s="380"/>
      <c r="J13" s="380"/>
      <c r="K13" s="380"/>
      <c r="L13" s="380"/>
      <c r="M13" s="380"/>
      <c r="N13" s="380"/>
      <c r="O13" s="380"/>
      <c r="P13" s="380"/>
      <c r="Q13" s="380"/>
      <c r="R13" s="380"/>
      <c r="S13" s="380"/>
      <c r="T13" s="380"/>
      <c r="U13" s="380"/>
      <c r="V13" s="380"/>
    </row>
    <row r="14" spans="1:22" s="23" customFormat="1" ht="15.75" customHeight="1">
      <c r="A14" s="45" t="s">
        <v>19</v>
      </c>
      <c r="B14" s="424">
        <f>-'[6]3Q03 TRIAL BALANCE'!E37</f>
        <v>7523356</v>
      </c>
      <c r="C14" s="424">
        <f>-'[6]3Q03 TRIAL BALANCE'!E36</f>
        <v>414542</v>
      </c>
      <c r="D14" s="423">
        <v>0</v>
      </c>
      <c r="E14" s="423">
        <v>0</v>
      </c>
      <c r="F14" s="423">
        <v>0</v>
      </c>
      <c r="G14" s="424">
        <f>SUM(B14:F14)</f>
        <v>7937898</v>
      </c>
      <c r="H14" s="380"/>
      <c r="I14" s="380"/>
      <c r="J14" s="380"/>
      <c r="K14" s="380"/>
      <c r="L14" s="380"/>
      <c r="M14" s="380"/>
      <c r="N14" s="380"/>
      <c r="O14" s="380"/>
      <c r="P14" s="380"/>
      <c r="Q14" s="380"/>
      <c r="R14" s="380"/>
      <c r="S14" s="380"/>
      <c r="T14" s="380"/>
      <c r="U14" s="380"/>
      <c r="V14" s="380"/>
    </row>
    <row r="15" spans="1:22" s="23" customFormat="1" ht="15.75" customHeight="1">
      <c r="A15" s="45" t="s">
        <v>290</v>
      </c>
      <c r="B15" s="424">
        <f>-'[6]3Q03 TRIAL BALANCE'!E39</f>
        <v>2489941</v>
      </c>
      <c r="C15" s="424">
        <f>-'[6]3Q03 TRIAL BALANCE'!E38</f>
        <v>140633</v>
      </c>
      <c r="D15" s="423">
        <v>0</v>
      </c>
      <c r="E15" s="423">
        <v>0</v>
      </c>
      <c r="F15" s="423">
        <v>0</v>
      </c>
      <c r="G15" s="424">
        <f>SUM(B15:F15)</f>
        <v>2630574</v>
      </c>
      <c r="H15" s="380"/>
      <c r="I15" s="380"/>
      <c r="J15" s="380"/>
      <c r="K15" s="380"/>
      <c r="L15" s="380"/>
      <c r="M15" s="380"/>
      <c r="N15" s="380"/>
      <c r="O15" s="380"/>
      <c r="P15" s="380"/>
      <c r="Q15" s="380"/>
      <c r="R15" s="380"/>
      <c r="S15" s="380"/>
      <c r="T15" s="380"/>
      <c r="U15" s="380"/>
      <c r="V15" s="380"/>
    </row>
    <row r="16" spans="1:22" s="23" customFormat="1" ht="15.75" customHeight="1">
      <c r="A16" s="45" t="s">
        <v>0</v>
      </c>
      <c r="B16" s="424">
        <f>-'[6]3Q03 TRIAL BALANCE'!E41</f>
        <v>36470</v>
      </c>
      <c r="C16" s="424">
        <f>-'[6]3Q03 TRIAL BALANCE'!E40</f>
        <v>1949</v>
      </c>
      <c r="D16" s="423">
        <v>0</v>
      </c>
      <c r="E16" s="423">
        <v>0</v>
      </c>
      <c r="F16" s="423">
        <v>0</v>
      </c>
      <c r="G16" s="424">
        <f>SUM(B16:F16)</f>
        <v>38419</v>
      </c>
      <c r="H16" s="380"/>
      <c r="I16" s="380"/>
      <c r="J16" s="380"/>
      <c r="K16" s="380"/>
      <c r="L16" s="380"/>
      <c r="M16" s="380"/>
      <c r="N16" s="380"/>
      <c r="O16" s="380"/>
      <c r="P16" s="380"/>
      <c r="Q16" s="380"/>
      <c r="R16" s="380"/>
      <c r="S16" s="380"/>
      <c r="T16" s="380"/>
      <c r="U16" s="380"/>
      <c r="V16" s="380"/>
    </row>
    <row r="17" spans="1:22" s="23" customFormat="1" ht="15.75" customHeight="1" thickBot="1">
      <c r="A17" s="46" t="s">
        <v>279</v>
      </c>
      <c r="B17" s="426">
        <f aca="true" t="shared" si="1" ref="B17:G17">SUM(B14:B16)</f>
        <v>10049767</v>
      </c>
      <c r="C17" s="426">
        <f t="shared" si="1"/>
        <v>557124</v>
      </c>
      <c r="D17" s="428">
        <f t="shared" si="1"/>
        <v>0</v>
      </c>
      <c r="E17" s="428">
        <f t="shared" si="1"/>
        <v>0</v>
      </c>
      <c r="F17" s="428">
        <f t="shared" si="1"/>
        <v>0</v>
      </c>
      <c r="G17" s="454">
        <f t="shared" si="1"/>
        <v>10606891</v>
      </c>
      <c r="H17" s="380"/>
      <c r="I17" s="380"/>
      <c r="J17" s="380"/>
      <c r="K17" s="380"/>
      <c r="L17" s="380"/>
      <c r="M17" s="380"/>
      <c r="N17" s="380"/>
      <c r="O17" s="380"/>
      <c r="P17" s="380"/>
      <c r="Q17" s="380"/>
      <c r="R17" s="380"/>
      <c r="S17" s="380"/>
      <c r="T17" s="380"/>
      <c r="U17" s="380"/>
      <c r="V17" s="380"/>
    </row>
    <row r="18" spans="1:22" s="23" customFormat="1" ht="15.75" customHeight="1" thickTop="1">
      <c r="A18" s="45"/>
      <c r="B18" s="353"/>
      <c r="C18" s="353"/>
      <c r="D18" s="353"/>
      <c r="E18" s="353"/>
      <c r="F18" s="353"/>
      <c r="G18" s="362"/>
      <c r="H18" s="383"/>
      <c r="I18" s="380"/>
      <c r="J18" s="380"/>
      <c r="K18" s="380"/>
      <c r="L18" s="380"/>
      <c r="M18" s="380"/>
      <c r="N18" s="380"/>
      <c r="O18" s="380"/>
      <c r="P18" s="380"/>
      <c r="Q18" s="380"/>
      <c r="R18" s="380"/>
      <c r="S18" s="380"/>
      <c r="T18" s="380"/>
      <c r="U18" s="380"/>
      <c r="V18" s="380"/>
    </row>
    <row r="19" spans="1:22" s="23" customFormat="1" ht="30" customHeight="1">
      <c r="A19" s="48" t="s">
        <v>156</v>
      </c>
      <c r="B19" s="353"/>
      <c r="C19" s="353"/>
      <c r="D19" s="353"/>
      <c r="E19" s="353"/>
      <c r="F19" s="353"/>
      <c r="G19" s="353"/>
      <c r="H19" s="380"/>
      <c r="I19" s="380"/>
      <c r="J19" s="380"/>
      <c r="K19" s="380"/>
      <c r="L19" s="380"/>
      <c r="M19" s="380"/>
      <c r="N19" s="380"/>
      <c r="O19" s="380"/>
      <c r="P19" s="380"/>
      <c r="Q19" s="380"/>
      <c r="R19" s="380"/>
      <c r="S19" s="380"/>
      <c r="T19" s="380"/>
      <c r="U19" s="380"/>
      <c r="V19" s="380"/>
    </row>
    <row r="20" spans="1:22" s="23" customFormat="1" ht="15.75" customHeight="1">
      <c r="A20" s="45" t="s">
        <v>19</v>
      </c>
      <c r="B20" s="423">
        <f>'[7]Premiums YTD-p8'!B20</f>
        <v>0</v>
      </c>
      <c r="C20" s="424">
        <f>'[7]Premiums YTD-p8'!C20</f>
        <v>6494180</v>
      </c>
      <c r="D20" s="423">
        <f>'[7]Premiums YTD-p8'!D20</f>
        <v>0</v>
      </c>
      <c r="E20" s="423">
        <f>'[7]Premiums YTD-p8'!E20</f>
        <v>0</v>
      </c>
      <c r="F20" s="423">
        <f>'[7]Premiums YTD-p8'!F20</f>
        <v>0</v>
      </c>
      <c r="G20" s="424">
        <f>SUM(B20:F20)</f>
        <v>6494180</v>
      </c>
      <c r="H20" s="380"/>
      <c r="I20" s="380"/>
      <c r="J20" s="380"/>
      <c r="K20" s="380"/>
      <c r="L20" s="380"/>
      <c r="M20" s="380"/>
      <c r="N20" s="380"/>
      <c r="O20" s="380"/>
      <c r="P20" s="380"/>
      <c r="Q20" s="380"/>
      <c r="R20" s="380"/>
      <c r="S20" s="380"/>
      <c r="T20" s="380"/>
      <c r="U20" s="380"/>
      <c r="V20" s="380"/>
    </row>
    <row r="21" spans="1:22" s="23" customFormat="1" ht="15.75" customHeight="1">
      <c r="A21" s="45" t="s">
        <v>290</v>
      </c>
      <c r="B21" s="423">
        <f>'[7]Premiums YTD-p8'!B21</f>
        <v>0</v>
      </c>
      <c r="C21" s="424">
        <f>'[7]Premiums YTD-p8'!C21</f>
        <v>2362142</v>
      </c>
      <c r="D21" s="423">
        <f>'[7]Premiums YTD-p8'!D21</f>
        <v>0</v>
      </c>
      <c r="E21" s="423">
        <f>'[7]Premiums YTD-p8'!E21</f>
        <v>0</v>
      </c>
      <c r="F21" s="423">
        <f>'[7]Premiums YTD-p8'!F21</f>
        <v>0</v>
      </c>
      <c r="G21" s="424">
        <f>SUM(B21:F21)</f>
        <v>2362142</v>
      </c>
      <c r="H21" s="380"/>
      <c r="I21" s="380"/>
      <c r="J21" s="380"/>
      <c r="K21" s="380"/>
      <c r="L21" s="380"/>
      <c r="M21" s="380"/>
      <c r="N21" s="380"/>
      <c r="O21" s="380"/>
      <c r="P21" s="380"/>
      <c r="Q21" s="380"/>
      <c r="R21" s="380"/>
      <c r="S21" s="380"/>
      <c r="T21" s="380"/>
      <c r="U21" s="380"/>
      <c r="V21" s="380"/>
    </row>
    <row r="22" spans="1:22" s="23" customFormat="1" ht="15.75" customHeight="1">
      <c r="A22" s="45" t="s">
        <v>0</v>
      </c>
      <c r="B22" s="423">
        <f>'[7]Premiums YTD-p8'!B22</f>
        <v>0</v>
      </c>
      <c r="C22" s="424">
        <f>'[7]Premiums YTD-p8'!C22</f>
        <v>40804</v>
      </c>
      <c r="D22" s="423">
        <f>'[7]Premiums YTD-p8'!D22</f>
        <v>0</v>
      </c>
      <c r="E22" s="423">
        <f>'[7]Premiums YTD-p8'!E22</f>
        <v>0</v>
      </c>
      <c r="F22" s="423">
        <f>'[7]Premiums YTD-p8'!F22</f>
        <v>0</v>
      </c>
      <c r="G22" s="424">
        <f>SUM(B22:F22)</f>
        <v>40804</v>
      </c>
      <c r="H22" s="380"/>
      <c r="I22" s="380"/>
      <c r="J22" s="380"/>
      <c r="K22" s="380"/>
      <c r="L22" s="380"/>
      <c r="M22" s="380"/>
      <c r="N22" s="380"/>
      <c r="O22" s="380"/>
      <c r="P22" s="380"/>
      <c r="Q22" s="380"/>
      <c r="R22" s="380"/>
      <c r="S22" s="380"/>
      <c r="T22" s="380"/>
      <c r="U22" s="380"/>
      <c r="V22" s="380"/>
    </row>
    <row r="23" spans="1:22" s="23" customFormat="1" ht="15.75" customHeight="1" thickBot="1">
      <c r="A23" s="46" t="s">
        <v>279</v>
      </c>
      <c r="B23" s="428">
        <f aca="true" t="shared" si="2" ref="B23:G23">SUM(B20:B22)</f>
        <v>0</v>
      </c>
      <c r="C23" s="426">
        <f t="shared" si="2"/>
        <v>8897126</v>
      </c>
      <c r="D23" s="428">
        <f t="shared" si="2"/>
        <v>0</v>
      </c>
      <c r="E23" s="428">
        <f t="shared" si="2"/>
        <v>0</v>
      </c>
      <c r="F23" s="428">
        <f t="shared" si="2"/>
        <v>0</v>
      </c>
      <c r="G23" s="454">
        <f t="shared" si="2"/>
        <v>8897126</v>
      </c>
      <c r="H23" s="380"/>
      <c r="I23" s="380"/>
      <c r="J23" s="380"/>
      <c r="K23" s="380"/>
      <c r="L23" s="380"/>
      <c r="M23" s="380"/>
      <c r="N23" s="380"/>
      <c r="O23" s="380"/>
      <c r="P23" s="380"/>
      <c r="Q23" s="380"/>
      <c r="R23" s="380"/>
      <c r="S23" s="380"/>
      <c r="T23" s="380"/>
      <c r="U23" s="380"/>
      <c r="V23" s="380"/>
    </row>
    <row r="24" spans="1:22" s="23" customFormat="1" ht="15.75" customHeight="1" thickTop="1">
      <c r="A24" s="45"/>
      <c r="B24" s="353"/>
      <c r="C24" s="353"/>
      <c r="D24" s="353"/>
      <c r="E24" s="353"/>
      <c r="F24" s="353"/>
      <c r="G24" s="381"/>
      <c r="H24" s="47"/>
      <c r="I24" s="380"/>
      <c r="J24" s="380"/>
      <c r="K24" s="380"/>
      <c r="L24" s="380"/>
      <c r="M24" s="380"/>
      <c r="N24" s="380"/>
      <c r="O24" s="380"/>
      <c r="P24" s="380"/>
      <c r="Q24" s="380"/>
      <c r="R24" s="380"/>
      <c r="S24" s="380"/>
      <c r="T24" s="380"/>
      <c r="U24" s="380"/>
      <c r="V24" s="380"/>
    </row>
    <row r="25" spans="1:22" s="23" customFormat="1" ht="15.75" customHeight="1">
      <c r="A25" s="48" t="s">
        <v>280</v>
      </c>
      <c r="B25" s="353"/>
      <c r="C25" s="353"/>
      <c r="D25" s="353"/>
      <c r="E25" s="353"/>
      <c r="F25" s="353"/>
      <c r="G25" s="353"/>
      <c r="H25" s="380"/>
      <c r="I25" s="380"/>
      <c r="J25" s="380"/>
      <c r="K25" s="380"/>
      <c r="L25" s="380"/>
      <c r="M25" s="380"/>
      <c r="N25" s="380"/>
      <c r="O25" s="380"/>
      <c r="P25" s="380"/>
      <c r="Q25" s="380"/>
      <c r="R25" s="380"/>
      <c r="S25" s="380"/>
      <c r="T25" s="380"/>
      <c r="U25" s="380"/>
      <c r="V25" s="380"/>
    </row>
    <row r="26" spans="1:22" s="23" customFormat="1" ht="15.75" customHeight="1">
      <c r="A26" s="45" t="s">
        <v>11</v>
      </c>
      <c r="B26" s="430">
        <f aca="true" t="shared" si="3" ref="B26:D28">B8-(B14-B20)</f>
        <v>4366606</v>
      </c>
      <c r="C26" s="424">
        <f>C8-(C14-C20)</f>
        <v>5998664</v>
      </c>
      <c r="D26" s="424">
        <f t="shared" si="3"/>
        <v>-3095</v>
      </c>
      <c r="E26" s="431">
        <f aca="true" t="shared" si="4" ref="E26:F28">E8-(E14-E20)</f>
        <v>98</v>
      </c>
      <c r="F26" s="423">
        <f t="shared" si="4"/>
        <v>0</v>
      </c>
      <c r="G26" s="424">
        <f>SUM(B26:F26)</f>
        <v>10362273</v>
      </c>
      <c r="H26" s="380"/>
      <c r="I26" s="380"/>
      <c r="J26" s="380"/>
      <c r="K26" s="380"/>
      <c r="L26" s="380"/>
      <c r="M26" s="380"/>
      <c r="N26" s="380"/>
      <c r="O26" s="380"/>
      <c r="P26" s="380"/>
      <c r="Q26" s="380"/>
      <c r="R26" s="380"/>
      <c r="S26" s="380"/>
      <c r="T26" s="380"/>
      <c r="U26" s="380"/>
      <c r="V26" s="380"/>
    </row>
    <row r="27" spans="1:22" s="23" customFormat="1" ht="15.75" customHeight="1">
      <c r="A27" s="45" t="s">
        <v>22</v>
      </c>
      <c r="B27" s="430">
        <f t="shared" si="3"/>
        <v>1436699</v>
      </c>
      <c r="C27" s="424">
        <f>C9-(C15-C21)</f>
        <v>2195433</v>
      </c>
      <c r="D27" s="424">
        <f t="shared" si="3"/>
        <v>-1462</v>
      </c>
      <c r="E27" s="424">
        <f t="shared" si="4"/>
        <v>-10</v>
      </c>
      <c r="F27" s="423">
        <f t="shared" si="4"/>
        <v>0</v>
      </c>
      <c r="G27" s="424">
        <f>SUM(B27:F27)</f>
        <v>3630660</v>
      </c>
      <c r="H27" s="380"/>
      <c r="I27" s="380"/>
      <c r="J27" s="380"/>
      <c r="K27" s="380"/>
      <c r="L27" s="380"/>
      <c r="M27" s="380"/>
      <c r="N27" s="380"/>
      <c r="O27" s="380"/>
      <c r="P27" s="380"/>
      <c r="Q27" s="380"/>
      <c r="R27" s="380"/>
      <c r="S27" s="380"/>
      <c r="T27" s="380"/>
      <c r="U27" s="380"/>
      <c r="V27" s="380"/>
    </row>
    <row r="28" spans="1:22" s="23" customFormat="1" ht="15.75" customHeight="1">
      <c r="A28" s="49" t="s">
        <v>12</v>
      </c>
      <c r="B28" s="430">
        <f t="shared" si="3"/>
        <v>21317</v>
      </c>
      <c r="C28" s="424">
        <f>C10-(C16-C22)</f>
        <v>38098</v>
      </c>
      <c r="D28" s="423">
        <f t="shared" si="3"/>
        <v>0</v>
      </c>
      <c r="E28" s="423">
        <f t="shared" si="4"/>
        <v>0</v>
      </c>
      <c r="F28" s="423">
        <f t="shared" si="4"/>
        <v>0</v>
      </c>
      <c r="G28" s="424">
        <f>SUM(B28:F28)</f>
        <v>59415</v>
      </c>
      <c r="H28" s="380"/>
      <c r="I28" s="380"/>
      <c r="J28" s="380"/>
      <c r="K28" s="380"/>
      <c r="L28" s="380"/>
      <c r="M28" s="380"/>
      <c r="N28" s="380"/>
      <c r="O28" s="380"/>
      <c r="P28" s="380"/>
      <c r="Q28" s="380"/>
      <c r="R28" s="380"/>
      <c r="S28" s="380"/>
      <c r="T28" s="380"/>
      <c r="U28" s="380"/>
      <c r="V28" s="380"/>
    </row>
    <row r="29" spans="1:22" s="23" customFormat="1" ht="15.75" customHeight="1" thickBot="1">
      <c r="A29" s="50" t="s">
        <v>279</v>
      </c>
      <c r="B29" s="211">
        <f aca="true" t="shared" si="5" ref="B29:G29">SUM(B26:B28)</f>
        <v>5824622</v>
      </c>
      <c r="C29" s="211">
        <f t="shared" si="5"/>
        <v>8232195</v>
      </c>
      <c r="D29" s="211">
        <f t="shared" si="5"/>
        <v>-4557</v>
      </c>
      <c r="E29" s="211">
        <f t="shared" si="5"/>
        <v>88</v>
      </c>
      <c r="F29" s="432">
        <f t="shared" si="5"/>
        <v>0</v>
      </c>
      <c r="G29" s="429">
        <f t="shared" si="5"/>
        <v>14052348</v>
      </c>
      <c r="H29" s="380"/>
      <c r="I29" s="380"/>
      <c r="J29" s="380"/>
      <c r="K29" s="380"/>
      <c r="L29" s="380"/>
      <c r="M29" s="380"/>
      <c r="N29" s="380"/>
      <c r="O29" s="380"/>
      <c r="P29" s="380"/>
      <c r="Q29" s="380"/>
      <c r="R29" s="380"/>
      <c r="S29" s="380"/>
      <c r="T29" s="380"/>
      <c r="U29" s="380"/>
      <c r="V29" s="380"/>
    </row>
    <row r="30" spans="2:8" s="6" customFormat="1" ht="15.75" customHeight="1" thickTop="1">
      <c r="B30" s="381"/>
      <c r="C30" s="381"/>
      <c r="D30" s="381"/>
      <c r="E30" s="381"/>
      <c r="F30" s="381"/>
      <c r="G30" s="381"/>
      <c r="H30" s="109"/>
    </row>
    <row r="31" spans="2:8" s="6" customFormat="1" ht="15.75" customHeight="1">
      <c r="B31" s="381"/>
      <c r="C31" s="381"/>
      <c r="D31" s="381"/>
      <c r="E31" s="381"/>
      <c r="F31" s="381"/>
      <c r="G31" s="381"/>
      <c r="H31" s="23"/>
    </row>
    <row r="32" spans="2:7" s="6" customFormat="1" ht="15.75" customHeight="1">
      <c r="B32" s="381"/>
      <c r="C32" s="381"/>
      <c r="D32" s="381"/>
      <c r="E32" s="381"/>
      <c r="F32" s="381"/>
      <c r="G32" s="381"/>
    </row>
    <row r="33" spans="1:8" ht="15.75" customHeight="1">
      <c r="A33" s="480" t="s">
        <v>292</v>
      </c>
      <c r="B33" s="481"/>
      <c r="C33" s="481"/>
      <c r="D33" s="481"/>
      <c r="E33" s="481"/>
      <c r="F33" s="481"/>
      <c r="G33" s="481"/>
      <c r="H33" s="481"/>
    </row>
    <row r="34" spans="1:8" ht="15.75" customHeight="1">
      <c r="A34" s="481"/>
      <c r="B34" s="481"/>
      <c r="C34" s="481"/>
      <c r="D34" s="481"/>
      <c r="E34" s="481"/>
      <c r="F34" s="481"/>
      <c r="G34" s="481"/>
      <c r="H34" s="481"/>
    </row>
    <row r="35" spans="1:8" ht="15.75" customHeight="1">
      <c r="A35" s="481"/>
      <c r="B35" s="481"/>
      <c r="C35" s="481"/>
      <c r="D35" s="481"/>
      <c r="E35" s="481"/>
      <c r="F35" s="481"/>
      <c r="G35" s="481"/>
      <c r="H35" s="481"/>
    </row>
    <row r="36" spans="1:8" ht="15.75">
      <c r="A36" s="481"/>
      <c r="B36" s="481"/>
      <c r="C36" s="481"/>
      <c r="D36" s="481"/>
      <c r="E36" s="481"/>
      <c r="F36" s="481"/>
      <c r="G36" s="481"/>
      <c r="H36" s="481"/>
    </row>
    <row r="37" spans="1:8" ht="15.75">
      <c r="A37" s="481"/>
      <c r="B37" s="481"/>
      <c r="C37" s="481"/>
      <c r="D37" s="481"/>
      <c r="E37" s="481"/>
      <c r="F37" s="481"/>
      <c r="G37" s="481"/>
      <c r="H37" s="481"/>
    </row>
    <row r="38" spans="1:8" ht="15.75">
      <c r="A38" s="481"/>
      <c r="B38" s="481"/>
      <c r="C38" s="481"/>
      <c r="D38" s="481"/>
      <c r="E38" s="481"/>
      <c r="F38" s="481"/>
      <c r="G38" s="481"/>
      <c r="H38" s="481"/>
    </row>
    <row r="39" spans="1:8" ht="15.75">
      <c r="A39" s="481"/>
      <c r="B39" s="481"/>
      <c r="C39" s="481"/>
      <c r="D39" s="481"/>
      <c r="E39" s="481"/>
      <c r="F39" s="481"/>
      <c r="G39" s="481"/>
      <c r="H39" s="481"/>
    </row>
  </sheetData>
  <mergeCells count="1">
    <mergeCell ref="A33:H39"/>
  </mergeCells>
  <printOptions horizontalCentered="1"/>
  <pageMargins left="0.5" right="0.5" top="0.5" bottom="0.5" header="0.5" footer="0"/>
  <pageSetup horizontalDpi="600" verticalDpi="600" orientation="landscape" scale="80"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none</cp:lastModifiedBy>
  <cp:lastPrinted>2003-11-17T16:19:36Z</cp:lastPrinted>
  <dcterms:created xsi:type="dcterms:W3CDTF">1999-07-28T13:02:54Z</dcterms:created>
  <dcterms:modified xsi:type="dcterms:W3CDTF">2003-11-17T17:34:41Z</dcterms:modified>
  <cp:category/>
  <cp:version/>
  <cp:contentType/>
  <cp:contentStatus/>
</cp:coreProperties>
</file>